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264" activeTab="1"/>
  </bookViews>
  <sheets>
    <sheet name="venituri" sheetId="1" r:id="rId1"/>
    <sheet name="chelt. operat." sheetId="2" r:id="rId2"/>
    <sheet name="investiti" sheetId="4" r:id="rId3"/>
  </sheets>
  <externalReferences>
    <externalReference r:id="rId4"/>
  </externalReferences>
  <definedNames>
    <definedName name="_xlnm.Print_Area" localSheetId="1">'chelt. operat.'!$A$1:$I$134</definedName>
    <definedName name="_xlnm.Print_Area" localSheetId="0">venituri!$A$1:$H$159</definedName>
    <definedName name="_xlnm.Print_Titles" localSheetId="1">'chelt. operat.'!$7:$7</definedName>
    <definedName name="_xlnm.Print_Titles" localSheetId="2">investiti!$11:$11</definedName>
    <definedName name="_xlnm.Print_Titles" localSheetId="0">venituri!$7:$7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8" i="2" l="1"/>
  <c r="I115" i="2"/>
  <c r="I114" i="2"/>
  <c r="I111" i="2"/>
  <c r="I110" i="2"/>
  <c r="I108" i="2"/>
  <c r="I107" i="2"/>
  <c r="I104" i="2"/>
  <c r="I103" i="2"/>
  <c r="I101" i="2"/>
  <c r="I100" i="2"/>
  <c r="I99" i="2"/>
  <c r="I98" i="2"/>
  <c r="I96" i="2"/>
  <c r="I95" i="2"/>
  <c r="I93" i="2"/>
  <c r="I91" i="2"/>
  <c r="I90" i="2"/>
  <c r="I87" i="2"/>
  <c r="I86" i="2"/>
  <c r="I79" i="2"/>
  <c r="I78" i="2"/>
  <c r="I76" i="2"/>
  <c r="I75" i="2"/>
  <c r="I74" i="2"/>
  <c r="I72" i="2"/>
  <c r="I71" i="2"/>
  <c r="I69" i="2"/>
  <c r="I68" i="2"/>
  <c r="I65" i="2"/>
  <c r="I61" i="2"/>
  <c r="I59" i="2"/>
  <c r="I57" i="2"/>
  <c r="I56" i="2"/>
  <c r="I54" i="2"/>
  <c r="I53" i="2"/>
  <c r="I52" i="2"/>
  <c r="I47" i="2"/>
  <c r="I45" i="2"/>
  <c r="I40" i="2"/>
  <c r="I39" i="2"/>
  <c r="I38" i="2"/>
  <c r="I37" i="2"/>
  <c r="I35" i="2"/>
  <c r="I33" i="2"/>
  <c r="I29" i="2"/>
  <c r="I27" i="2"/>
  <c r="I26" i="2"/>
  <c r="I25" i="2"/>
  <c r="H148" i="1" l="1"/>
  <c r="H135" i="1"/>
  <c r="H134" i="1"/>
  <c r="H133" i="1"/>
  <c r="H132" i="1"/>
  <c r="H125" i="1"/>
  <c r="H119" i="1"/>
  <c r="H118" i="1"/>
  <c r="H114" i="1"/>
  <c r="H111" i="1"/>
  <c r="H110" i="1"/>
  <c r="H109" i="1"/>
  <c r="H106" i="1"/>
  <c r="H105" i="1"/>
  <c r="H103" i="1"/>
  <c r="H102" i="1"/>
  <c r="H101" i="1"/>
  <c r="H100" i="1"/>
  <c r="H99" i="1"/>
  <c r="H98" i="1"/>
  <c r="H94" i="1"/>
  <c r="H93" i="1"/>
  <c r="H91" i="1"/>
  <c r="H90" i="1"/>
  <c r="H87" i="1"/>
  <c r="H86" i="1"/>
  <c r="H84" i="1"/>
  <c r="H83" i="1"/>
  <c r="H81" i="1"/>
  <c r="H80" i="1"/>
  <c r="H79" i="1"/>
  <c r="H78" i="1"/>
  <c r="H77" i="1"/>
  <c r="H76" i="1"/>
  <c r="H75" i="1"/>
  <c r="H69" i="1"/>
  <c r="H68" i="1"/>
  <c r="H66" i="1"/>
  <c r="H65" i="1"/>
  <c r="H64" i="1"/>
  <c r="H59" i="1"/>
  <c r="H58" i="1"/>
  <c r="H57" i="1"/>
  <c r="H56" i="1"/>
  <c r="H55" i="1"/>
  <c r="H53" i="1"/>
  <c r="H52" i="1"/>
  <c r="H50" i="1"/>
  <c r="H49" i="1"/>
  <c r="H48" i="1"/>
  <c r="H46" i="1"/>
  <c r="H45" i="1"/>
  <c r="H43" i="1"/>
  <c r="H42" i="1"/>
  <c r="H39" i="1"/>
  <c r="H38" i="1"/>
  <c r="H36" i="1"/>
  <c r="H35" i="1"/>
  <c r="H34" i="1"/>
  <c r="H31" i="1"/>
  <c r="H29" i="1"/>
  <c r="H23" i="1"/>
  <c r="H22" i="1"/>
  <c r="H21" i="1"/>
  <c r="H20" i="1"/>
  <c r="H18" i="1"/>
  <c r="H17" i="1"/>
  <c r="H14" i="1"/>
  <c r="H13" i="1"/>
  <c r="H12" i="1"/>
  <c r="H9" i="1"/>
  <c r="H8" i="1"/>
  <c r="C667" i="4" l="1"/>
  <c r="C666" i="4"/>
  <c r="C665" i="4"/>
  <c r="C664" i="4"/>
  <c r="C663" i="4"/>
  <c r="C662" i="4"/>
  <c r="C661" i="4"/>
  <c r="C660" i="4"/>
  <c r="C659" i="4"/>
  <c r="C658" i="4"/>
  <c r="C657" i="4"/>
  <c r="C656" i="4" s="1"/>
  <c r="I656" i="4"/>
  <c r="I27" i="4" s="1"/>
  <c r="G656" i="4"/>
  <c r="F656" i="4"/>
  <c r="F27" i="4" s="1"/>
  <c r="E656" i="4"/>
  <c r="E27" i="4" s="1"/>
  <c r="D656" i="4"/>
  <c r="D27" i="4" s="1"/>
  <c r="C655" i="4"/>
  <c r="C654" i="4"/>
  <c r="C653" i="4"/>
  <c r="C652" i="4"/>
  <c r="C651" i="4"/>
  <c r="C650" i="4"/>
  <c r="C649" i="4"/>
  <c r="C648" i="4"/>
  <c r="C647" i="4"/>
  <c r="C646" i="4"/>
  <c r="C645" i="4"/>
  <c r="I644" i="4"/>
  <c r="H644" i="4"/>
  <c r="G644" i="4"/>
  <c r="F644" i="4"/>
  <c r="E644" i="4"/>
  <c r="C643" i="4"/>
  <c r="G642" i="4"/>
  <c r="C642" i="4" s="1"/>
  <c r="G641" i="4"/>
  <c r="C641" i="4" s="1"/>
  <c r="G640" i="4"/>
  <c r="C640" i="4" s="1"/>
  <c r="G639" i="4"/>
  <c r="C639" i="4"/>
  <c r="G638" i="4"/>
  <c r="C638" i="4" s="1"/>
  <c r="I637" i="4"/>
  <c r="H637" i="4"/>
  <c r="F637" i="4"/>
  <c r="E637" i="4"/>
  <c r="E600" i="4" s="1"/>
  <c r="E599" i="4" s="1"/>
  <c r="E26" i="4" s="1"/>
  <c r="D637" i="4"/>
  <c r="D600" i="4" s="1"/>
  <c r="D599" i="4" s="1"/>
  <c r="D26" i="4" s="1"/>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I601" i="4"/>
  <c r="I600" i="4" s="1"/>
  <c r="I599" i="4" s="1"/>
  <c r="I26" i="4" s="1"/>
  <c r="H601" i="4"/>
  <c r="G601" i="4"/>
  <c r="F601" i="4"/>
  <c r="E601" i="4"/>
  <c r="D601" i="4"/>
  <c r="C598" i="4"/>
  <c r="C597" i="4"/>
  <c r="C596" i="4"/>
  <c r="C595" i="4"/>
  <c r="C594" i="4"/>
  <c r="C593" i="4"/>
  <c r="C592" i="4"/>
  <c r="C591" i="4"/>
  <c r="C590" i="4"/>
  <c r="F589" i="4"/>
  <c r="C589" i="4" s="1"/>
  <c r="F588" i="4"/>
  <c r="C588" i="4"/>
  <c r="F587" i="4"/>
  <c r="C587" i="4"/>
  <c r="C586" i="4"/>
  <c r="C585" i="4"/>
  <c r="C584" i="4"/>
  <c r="C583" i="4"/>
  <c r="C582" i="4"/>
  <c r="C581" i="4"/>
  <c r="C580" i="4"/>
  <c r="C579" i="4"/>
  <c r="C578" i="4"/>
  <c r="C577" i="4"/>
  <c r="C576" i="4"/>
  <c r="C575" i="4"/>
  <c r="C574" i="4"/>
  <c r="C573" i="4"/>
  <c r="C572" i="4"/>
  <c r="C571" i="4"/>
  <c r="C570" i="4"/>
  <c r="C569" i="4"/>
  <c r="I568" i="4"/>
  <c r="C568" i="4" s="1"/>
  <c r="C567" i="4"/>
  <c r="C566" i="4"/>
  <c r="C565" i="4"/>
  <c r="C564" i="4"/>
  <c r="C563" i="4"/>
  <c r="C562" i="4"/>
  <c r="C561" i="4"/>
  <c r="C560" i="4"/>
  <c r="C559" i="4"/>
  <c r="C558" i="4"/>
  <c r="C557" i="4"/>
  <c r="C556" i="4"/>
  <c r="C555" i="4"/>
  <c r="F554" i="4"/>
  <c r="C554" i="4"/>
  <c r="C553" i="4"/>
  <c r="C552" i="4"/>
  <c r="C551" i="4"/>
  <c r="C550" i="4"/>
  <c r="C549" i="4"/>
  <c r="C548" i="4"/>
  <c r="C547" i="4"/>
  <c r="C546" i="4"/>
  <c r="C545" i="4"/>
  <c r="C544" i="4"/>
  <c r="C543" i="4"/>
  <c r="C542" i="4"/>
  <c r="C541" i="4"/>
  <c r="C540" i="4"/>
  <c r="F539" i="4"/>
  <c r="C539" i="4" s="1"/>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I492" i="4"/>
  <c r="I25" i="4" s="1"/>
  <c r="H492" i="4"/>
  <c r="H25" i="4" s="1"/>
  <c r="G492" i="4"/>
  <c r="G25" i="4" s="1"/>
  <c r="E492" i="4"/>
  <c r="E25" i="4" s="1"/>
  <c r="D492" i="4"/>
  <c r="D25" i="4" s="1"/>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I368" i="4"/>
  <c r="I24" i="4" s="1"/>
  <c r="G368" i="4"/>
  <c r="G24" i="4" s="1"/>
  <c r="F368" i="4"/>
  <c r="F24" i="4" s="1"/>
  <c r="E368" i="4"/>
  <c r="E24" i="4" s="1"/>
  <c r="D368" i="4"/>
  <c r="D24" i="4" s="1"/>
  <c r="C367" i="4"/>
  <c r="C366" i="4" s="1"/>
  <c r="I366" i="4"/>
  <c r="H366" i="4"/>
  <c r="G366" i="4"/>
  <c r="F366" i="4"/>
  <c r="E366" i="4"/>
  <c r="D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I195" i="4"/>
  <c r="H195" i="4"/>
  <c r="G195" i="4"/>
  <c r="F195" i="4"/>
  <c r="E195" i="4"/>
  <c r="D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F161" i="4"/>
  <c r="F158" i="4" s="1"/>
  <c r="C161" i="4"/>
  <c r="C160" i="4"/>
  <c r="C159" i="4"/>
  <c r="I158" i="4"/>
  <c r="H158" i="4"/>
  <c r="G158" i="4"/>
  <c r="E158" i="4"/>
  <c r="D158" i="4"/>
  <c r="C157" i="4"/>
  <c r="C156" i="4"/>
  <c r="C155" i="4"/>
  <c r="C154" i="4"/>
  <c r="C153" i="4"/>
  <c r="C152" i="4"/>
  <c r="C151" i="4"/>
  <c r="I150" i="4"/>
  <c r="H150" i="4"/>
  <c r="G150" i="4"/>
  <c r="F150" i="4"/>
  <c r="E150" i="4"/>
  <c r="D150" i="4"/>
  <c r="C148" i="4"/>
  <c r="C147" i="4"/>
  <c r="C146" i="4"/>
  <c r="C145" i="4"/>
  <c r="C144" i="4" s="1"/>
  <c r="I144" i="4"/>
  <c r="I22" i="4" s="1"/>
  <c r="H144" i="4"/>
  <c r="H22" i="4" s="1"/>
  <c r="G144" i="4"/>
  <c r="G22" i="4" s="1"/>
  <c r="F144" i="4"/>
  <c r="F22" i="4" s="1"/>
  <c r="E144" i="4"/>
  <c r="E22" i="4" s="1"/>
  <c r="D144" i="4"/>
  <c r="D22" i="4" s="1"/>
  <c r="C143" i="4"/>
  <c r="C142" i="4" s="1"/>
  <c r="I142" i="4"/>
  <c r="I21" i="4" s="1"/>
  <c r="H142" i="4"/>
  <c r="G142" i="4"/>
  <c r="G21" i="4" s="1"/>
  <c r="F142" i="4"/>
  <c r="F21" i="4" s="1"/>
  <c r="E142" i="4"/>
  <c r="E21" i="4" s="1"/>
  <c r="D142" i="4"/>
  <c r="D21" i="4" s="1"/>
  <c r="C141" i="4"/>
  <c r="C140" i="4" s="1"/>
  <c r="I140" i="4"/>
  <c r="I20" i="4" s="1"/>
  <c r="H140" i="4"/>
  <c r="G140" i="4"/>
  <c r="G20" i="4" s="1"/>
  <c r="F140" i="4"/>
  <c r="F20" i="4" s="1"/>
  <c r="E140" i="4"/>
  <c r="E20" i="4" s="1"/>
  <c r="D140" i="4"/>
  <c r="D20" i="4" s="1"/>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I106" i="4"/>
  <c r="I19" i="4" s="1"/>
  <c r="H106" i="4"/>
  <c r="G106" i="4"/>
  <c r="F106" i="4"/>
  <c r="F19" i="4" s="1"/>
  <c r="E106" i="4"/>
  <c r="E19" i="4" s="1"/>
  <c r="D106" i="4"/>
  <c r="D19" i="4" s="1"/>
  <c r="C105" i="4"/>
  <c r="C104" i="4"/>
  <c r="I103" i="4"/>
  <c r="I18" i="4" s="1"/>
  <c r="H103" i="4"/>
  <c r="G103" i="4"/>
  <c r="G18" i="4" s="1"/>
  <c r="F103" i="4"/>
  <c r="F18" i="4" s="1"/>
  <c r="E103" i="4"/>
  <c r="E18" i="4" s="1"/>
  <c r="D103" i="4"/>
  <c r="C102" i="4"/>
  <c r="C101" i="4"/>
  <c r="C100" i="4"/>
  <c r="C99" i="4"/>
  <c r="C98" i="4"/>
  <c r="C97" i="4"/>
  <c r="C96" i="4"/>
  <c r="C95" i="4"/>
  <c r="C94" i="4"/>
  <c r="I93" i="4"/>
  <c r="H93" i="4"/>
  <c r="G93" i="4"/>
  <c r="F93" i="4"/>
  <c r="F17" i="4" s="1"/>
  <c r="E93" i="4"/>
  <c r="E17" i="4" s="1"/>
  <c r="D93" i="4"/>
  <c r="D17" i="4" s="1"/>
  <c r="C92" i="4"/>
  <c r="C91" i="4"/>
  <c r="C90" i="4"/>
  <c r="C89" i="4"/>
  <c r="C88" i="4"/>
  <c r="I87" i="4"/>
  <c r="H87" i="4"/>
  <c r="G87" i="4"/>
  <c r="G16" i="4" s="1"/>
  <c r="F87" i="4"/>
  <c r="F16" i="4" s="1"/>
  <c r="E87" i="4"/>
  <c r="E16" i="4" s="1"/>
  <c r="D87" i="4"/>
  <c r="D16" i="4" s="1"/>
  <c r="C86" i="4"/>
  <c r="C85" i="4"/>
  <c r="C84" i="4"/>
  <c r="C83" i="4"/>
  <c r="C82" i="4"/>
  <c r="C81" i="4"/>
  <c r="C80" i="4"/>
  <c r="C79" i="4"/>
  <c r="C78" i="4"/>
  <c r="C77" i="4"/>
  <c r="C76" i="4"/>
  <c r="C75" i="4"/>
  <c r="C74" i="4"/>
  <c r="C73" i="4"/>
  <c r="C72" i="4"/>
  <c r="C71" i="4"/>
  <c r="C70" i="4"/>
  <c r="C69" i="4"/>
  <c r="C68" i="4"/>
  <c r="C67" i="4"/>
  <c r="I66" i="4"/>
  <c r="I15" i="4" s="1"/>
  <c r="H66" i="4"/>
  <c r="G66" i="4"/>
  <c r="G15" i="4" s="1"/>
  <c r="F66" i="4"/>
  <c r="F15" i="4" s="1"/>
  <c r="E66" i="4"/>
  <c r="E15" i="4" s="1"/>
  <c r="D66" i="4"/>
  <c r="D15" i="4" s="1"/>
  <c r="C65" i="4"/>
  <c r="C64" i="4"/>
  <c r="C63" i="4"/>
  <c r="C62" i="4"/>
  <c r="C61" i="4"/>
  <c r="C60" i="4"/>
  <c r="I59" i="4"/>
  <c r="I14" i="4" s="1"/>
  <c r="H59" i="4"/>
  <c r="G59" i="4"/>
  <c r="G14" i="4" s="1"/>
  <c r="F59" i="4"/>
  <c r="F14" i="4" s="1"/>
  <c r="E59" i="4"/>
  <c r="E14" i="4" s="1"/>
  <c r="D59" i="4"/>
  <c r="D14" i="4" s="1"/>
  <c r="C58" i="4"/>
  <c r="C57" i="4"/>
  <c r="C56" i="4"/>
  <c r="C55" i="4"/>
  <c r="C54" i="4"/>
  <c r="C53" i="4"/>
  <c r="C52" i="4"/>
  <c r="C51" i="4"/>
  <c r="C50" i="4"/>
  <c r="C49" i="4"/>
  <c r="C48" i="4"/>
  <c r="C47" i="4"/>
  <c r="I46" i="4"/>
  <c r="G46" i="4"/>
  <c r="F46" i="4"/>
  <c r="F13" i="4" s="1"/>
  <c r="E46" i="4"/>
  <c r="D46" i="4"/>
  <c r="C45" i="4"/>
  <c r="C44" i="4"/>
  <c r="C43" i="4"/>
  <c r="C42" i="4"/>
  <c r="C41" i="4"/>
  <c r="C40" i="4"/>
  <c r="C39" i="4"/>
  <c r="C38" i="4"/>
  <c r="C37" i="4"/>
  <c r="C36" i="4"/>
  <c r="C35" i="4"/>
  <c r="C34" i="4"/>
  <c r="C33" i="4"/>
  <c r="I32" i="4"/>
  <c r="I12" i="4" s="1"/>
  <c r="H32" i="4"/>
  <c r="G32" i="4"/>
  <c r="G12" i="4" s="1"/>
  <c r="F32" i="4"/>
  <c r="F12" i="4" s="1"/>
  <c r="E32" i="4"/>
  <c r="E12" i="4" s="1"/>
  <c r="D32" i="4"/>
  <c r="D12" i="4" s="1"/>
  <c r="G27" i="4"/>
  <c r="H19" i="4"/>
  <c r="G19" i="4"/>
  <c r="D18" i="4"/>
  <c r="I17" i="4"/>
  <c r="G17" i="4"/>
  <c r="I16" i="4"/>
  <c r="I13" i="4"/>
  <c r="G13" i="4"/>
  <c r="E13" i="4"/>
  <c r="D13" i="4"/>
  <c r="C14" i="4" l="1"/>
  <c r="D149" i="4"/>
  <c r="D23" i="4" s="1"/>
  <c r="E149" i="4"/>
  <c r="E23" i="4" s="1"/>
  <c r="C66" i="4"/>
  <c r="C16" i="4"/>
  <c r="C59" i="4"/>
  <c r="F149" i="4"/>
  <c r="F23" i="4" s="1"/>
  <c r="F28" i="4" s="1"/>
  <c r="C103" i="4"/>
  <c r="F600" i="4"/>
  <c r="F599" i="4" s="1"/>
  <c r="F26" i="4" s="1"/>
  <c r="C22" i="4"/>
  <c r="C93" i="4"/>
  <c r="C601" i="4"/>
  <c r="C87" i="4"/>
  <c r="C21" i="4"/>
  <c r="C195" i="4"/>
  <c r="C46" i="4"/>
  <c r="C15" i="4"/>
  <c r="C19" i="4"/>
  <c r="G149" i="4"/>
  <c r="G23" i="4" s="1"/>
  <c r="C17" i="4"/>
  <c r="I149" i="4"/>
  <c r="I23" i="4" s="1"/>
  <c r="I28" i="4" s="1"/>
  <c r="H149" i="4"/>
  <c r="C368" i="4"/>
  <c r="C637" i="4"/>
  <c r="C150" i="4"/>
  <c r="C158" i="4"/>
  <c r="H28" i="4"/>
  <c r="C644" i="4"/>
  <c r="C27" i="4"/>
  <c r="C24" i="4"/>
  <c r="C13" i="4"/>
  <c r="C492" i="4"/>
  <c r="C32" i="4"/>
  <c r="G637" i="4"/>
  <c r="G600" i="4" s="1"/>
  <c r="G599" i="4" s="1"/>
  <c r="G26" i="4" s="1"/>
  <c r="C106" i="4"/>
  <c r="H600" i="4"/>
  <c r="H599" i="4" s="1"/>
  <c r="H668" i="4" s="1"/>
  <c r="C18" i="4"/>
  <c r="C12" i="4"/>
  <c r="E28" i="4"/>
  <c r="C25" i="4"/>
  <c r="C20" i="4"/>
  <c r="D668" i="4"/>
  <c r="E668" i="4"/>
  <c r="D28" i="4"/>
  <c r="F492" i="4"/>
  <c r="F25" i="4" s="1"/>
  <c r="C26" i="4" l="1"/>
  <c r="C28" i="4" s="1"/>
  <c r="C23" i="4"/>
  <c r="C149" i="4"/>
  <c r="C600" i="4"/>
  <c r="C599" i="4" s="1"/>
  <c r="C668" i="4" s="1"/>
  <c r="F668" i="4"/>
  <c r="G668" i="4"/>
  <c r="G28" i="4"/>
  <c r="I668" i="4"/>
  <c r="G152" i="1" l="1"/>
  <c r="G88" i="1" l="1"/>
  <c r="H88" i="1" s="1"/>
  <c r="G89" i="1" l="1"/>
  <c r="H89" i="1" s="1"/>
  <c r="G141" i="1"/>
  <c r="G92" i="1"/>
  <c r="H92" i="1" s="1"/>
  <c r="G95" i="1" l="1"/>
  <c r="H95" i="1" s="1"/>
  <c r="G60" i="1" l="1"/>
  <c r="H60" i="1" s="1"/>
  <c r="H88" i="2" l="1"/>
  <c r="I88" i="2" s="1"/>
  <c r="H130" i="2" l="1"/>
  <c r="I130" i="2" s="1"/>
  <c r="H23" i="2"/>
  <c r="I23" i="2" s="1"/>
  <c r="H22" i="2"/>
  <c r="I22" i="2" s="1"/>
  <c r="H121" i="2"/>
  <c r="F150" i="1" l="1"/>
  <c r="H150" i="1" s="1"/>
  <c r="H30" i="2" l="1"/>
  <c r="H67" i="2"/>
  <c r="H16" i="2"/>
  <c r="H11" i="2"/>
  <c r="H12" i="2"/>
  <c r="H10" i="2"/>
  <c r="G40" i="1"/>
  <c r="H40" i="1" s="1"/>
  <c r="H83" i="2"/>
  <c r="G25" i="1"/>
  <c r="G44" i="1" l="1"/>
  <c r="H44" i="1" s="1"/>
  <c r="H24" i="2" l="1"/>
  <c r="H105" i="2" l="1"/>
  <c r="I105" i="2" s="1"/>
  <c r="G61" i="1"/>
  <c r="H61" i="1" s="1"/>
  <c r="G26" i="1"/>
  <c r="H26" i="1" s="1"/>
  <c r="H31" i="2" l="1"/>
  <c r="G85" i="1" l="1"/>
  <c r="G82" i="1"/>
  <c r="H82" i="1" s="1"/>
  <c r="H19" i="2" l="1"/>
  <c r="G142" i="1" l="1"/>
  <c r="G153" i="1"/>
  <c r="G123" i="1"/>
  <c r="G116" i="1"/>
  <c r="G112" i="1"/>
  <c r="G108" i="1"/>
  <c r="G96" i="1"/>
  <c r="G74" i="1"/>
  <c r="G67" i="1"/>
  <c r="G115" i="1" l="1"/>
  <c r="G107" i="1"/>
  <c r="G62" i="1"/>
  <c r="G54" i="1"/>
  <c r="G51" i="1"/>
  <c r="G33" i="1"/>
  <c r="G30" i="1"/>
  <c r="G37" i="1"/>
  <c r="G28" i="1"/>
  <c r="G24" i="1"/>
  <c r="G19" i="1"/>
  <c r="G16" i="1"/>
  <c r="H20" i="2"/>
  <c r="H21" i="2"/>
  <c r="G130" i="1" l="1"/>
  <c r="G15" i="1"/>
  <c r="G131" i="1"/>
  <c r="G32" i="1"/>
  <c r="G10" i="1" l="1"/>
  <c r="H42" i="2"/>
  <c r="H117" i="2" l="1"/>
  <c r="H131" i="2" l="1"/>
  <c r="H48" i="2"/>
  <c r="I48" i="2" s="1"/>
  <c r="H92" i="2" l="1"/>
  <c r="H89" i="2" l="1"/>
  <c r="H97" i="2" l="1"/>
  <c r="H14" i="2" l="1"/>
  <c r="H36" i="2"/>
  <c r="G41" i="1"/>
  <c r="H13" i="2"/>
  <c r="H28" i="2" l="1"/>
  <c r="G126" i="1"/>
  <c r="H77" i="2"/>
  <c r="H60" i="2"/>
  <c r="H55" i="2"/>
  <c r="H84" i="2"/>
  <c r="H85" i="2"/>
  <c r="H70" i="2" l="1"/>
  <c r="G129" i="1"/>
  <c r="G136" i="1" l="1"/>
  <c r="G159" i="1" s="1"/>
  <c r="H18" i="2"/>
  <c r="H81" i="2" l="1"/>
  <c r="H50" i="2"/>
  <c r="G89" i="2"/>
  <c r="I89" i="2" s="1"/>
  <c r="H9" i="2" l="1"/>
  <c r="H49" i="2"/>
  <c r="H80" i="2"/>
  <c r="G129" i="2"/>
  <c r="I129" i="2" s="1"/>
  <c r="F141" i="1"/>
  <c r="H141" i="1" s="1"/>
  <c r="F149" i="1"/>
  <c r="H149" i="1" s="1"/>
  <c r="H8" i="2" l="1"/>
  <c r="H122" i="2" l="1"/>
  <c r="F41" i="2"/>
  <c r="G41" i="2"/>
  <c r="I41" i="2" s="1"/>
  <c r="G46" i="2"/>
  <c r="I46" i="2" s="1"/>
  <c r="H123" i="2" l="1"/>
  <c r="H134" i="2" s="1"/>
  <c r="G14" i="2"/>
  <c r="I14" i="2" s="1"/>
  <c r="G84" i="2" l="1"/>
  <c r="I84" i="2" s="1"/>
  <c r="F84" i="2"/>
  <c r="G83" i="2"/>
  <c r="I83" i="2" s="1"/>
  <c r="G21" i="2"/>
  <c r="I21" i="2" s="1"/>
  <c r="G13" i="2"/>
  <c r="I13" i="2" s="1"/>
  <c r="G12" i="2"/>
  <c r="I12" i="2" s="1"/>
  <c r="G11" i="2"/>
  <c r="I11" i="2" s="1"/>
  <c r="G42" i="2"/>
  <c r="I42" i="2" s="1"/>
  <c r="G121" i="2"/>
  <c r="I121" i="2" s="1"/>
  <c r="G82" i="2"/>
  <c r="I82" i="2" s="1"/>
  <c r="G36" i="2" l="1"/>
  <c r="I36" i="2" s="1"/>
  <c r="G30" i="2"/>
  <c r="I30" i="2" s="1"/>
  <c r="G31" i="2"/>
  <c r="I31" i="2" s="1"/>
  <c r="G10" i="2"/>
  <c r="I10" i="2" s="1"/>
  <c r="F11" i="1"/>
  <c r="H11" i="1" s="1"/>
  <c r="E141" i="1" l="1"/>
  <c r="G20" i="2"/>
  <c r="I20" i="2" s="1"/>
  <c r="G19" i="2"/>
  <c r="I19" i="2" s="1"/>
  <c r="F30" i="2"/>
  <c r="F21" i="2"/>
  <c r="F11" i="2"/>
  <c r="F50" i="2"/>
  <c r="G50" i="2"/>
  <c r="I50" i="2" s="1"/>
  <c r="F83" i="2"/>
  <c r="G24" i="2"/>
  <c r="I24" i="2" s="1"/>
  <c r="G16" i="2" l="1"/>
  <c r="I16" i="2" s="1"/>
  <c r="G120" i="2"/>
  <c r="I120" i="2" s="1"/>
  <c r="F89" i="2" l="1"/>
  <c r="G58" i="2" l="1"/>
  <c r="I58" i="2" s="1"/>
  <c r="G73" i="2"/>
  <c r="I73" i="2" s="1"/>
  <c r="G94" i="2"/>
  <c r="I94" i="2" s="1"/>
  <c r="G15" i="2"/>
  <c r="I15" i="2" s="1"/>
  <c r="G117" i="2"/>
  <c r="I117" i="2" s="1"/>
  <c r="F19" i="2"/>
  <c r="E25" i="1" l="1"/>
  <c r="F85" i="1"/>
  <c r="H85" i="1" s="1"/>
  <c r="F72" i="1"/>
  <c r="F63" i="1"/>
  <c r="H63" i="1" s="1"/>
  <c r="F97" i="1"/>
  <c r="H97" i="1" s="1"/>
  <c r="F27" i="1"/>
  <c r="H27" i="1" s="1"/>
  <c r="F25" i="1"/>
  <c r="H25" i="1" s="1"/>
  <c r="E96" i="1" l="1"/>
  <c r="F96" i="1"/>
  <c r="H96" i="1" s="1"/>
  <c r="D96" i="1"/>
  <c r="E152" i="1"/>
  <c r="D152" i="1"/>
  <c r="E112" i="1" l="1"/>
  <c r="F112" i="1"/>
  <c r="D112" i="1"/>
  <c r="E149" i="1" l="1"/>
  <c r="E74" i="1"/>
  <c r="F74" i="1"/>
  <c r="H74" i="1" s="1"/>
  <c r="D74" i="1"/>
  <c r="F129" i="2" l="1"/>
  <c r="F76" i="2"/>
  <c r="F14" i="2"/>
  <c r="F31" i="2"/>
  <c r="F121" i="2"/>
  <c r="F74" i="2"/>
  <c r="F119" i="2"/>
  <c r="F95" i="2"/>
  <c r="F20" i="2"/>
  <c r="F75" i="2"/>
  <c r="F88" i="2"/>
  <c r="F23" i="2"/>
  <c r="F13" i="2"/>
  <c r="F22" i="2"/>
  <c r="F12" i="2"/>
  <c r="F87" i="2"/>
  <c r="F86" i="2"/>
  <c r="F59" i="2"/>
  <c r="F58" i="2"/>
  <c r="F108" i="2"/>
  <c r="F57" i="2"/>
  <c r="F52" i="2"/>
  <c r="F33" i="2"/>
  <c r="F26" i="2"/>
  <c r="F16" i="2"/>
  <c r="F25" i="2"/>
  <c r="F15" i="2"/>
  <c r="F10" i="2"/>
  <c r="E108" i="1" l="1"/>
  <c r="F108" i="1"/>
  <c r="H108" i="1" s="1"/>
  <c r="D108" i="1"/>
  <c r="G112" i="2" l="1"/>
  <c r="I112" i="2" s="1"/>
  <c r="F42" i="2" l="1"/>
  <c r="F36" i="2" s="1"/>
  <c r="F94" i="2"/>
  <c r="F70" i="1" l="1"/>
  <c r="F117" i="2" l="1"/>
  <c r="F60" i="2" l="1"/>
  <c r="G60" i="2"/>
  <c r="I60" i="2" s="1"/>
  <c r="E60" i="2"/>
  <c r="F116" i="2" l="1"/>
  <c r="F105" i="2" l="1"/>
  <c r="F103" i="2" l="1"/>
  <c r="F24" i="2" l="1"/>
  <c r="F131" i="2"/>
  <c r="F92" i="2"/>
  <c r="F77" i="2"/>
  <c r="F70" i="2" s="1"/>
  <c r="F55" i="2"/>
  <c r="F49" i="2"/>
  <c r="F9" i="2"/>
  <c r="E153" i="1"/>
  <c r="E142" i="1"/>
  <c r="E123" i="1"/>
  <c r="E120" i="1"/>
  <c r="E116" i="1"/>
  <c r="E70" i="1"/>
  <c r="E67" i="1"/>
  <c r="E54" i="1"/>
  <c r="E51" i="1"/>
  <c r="E41" i="1"/>
  <c r="E37" i="1"/>
  <c r="E33" i="1"/>
  <c r="E32" i="1" s="1"/>
  <c r="E30" i="1"/>
  <c r="E28" i="1"/>
  <c r="E24" i="1"/>
  <c r="E19" i="1"/>
  <c r="E16" i="1"/>
  <c r="E10" i="1"/>
  <c r="E115" i="1" l="1"/>
  <c r="E15" i="1"/>
  <c r="E107" i="1"/>
  <c r="F81" i="2"/>
  <c r="F80" i="2" s="1"/>
  <c r="F28" i="2"/>
  <c r="E62" i="1"/>
  <c r="F18" i="2"/>
  <c r="F8" i="2" s="1"/>
  <c r="F97" i="2"/>
  <c r="E130" i="1"/>
  <c r="E126" i="1" l="1"/>
  <c r="E131" i="1"/>
  <c r="F122" i="2"/>
  <c r="F123" i="2" s="1"/>
  <c r="E129" i="1" l="1"/>
  <c r="E136" i="1" s="1"/>
  <c r="E159" i="1" s="1"/>
  <c r="F134" i="2"/>
  <c r="D149" i="1" l="1"/>
  <c r="D141" i="1" l="1"/>
  <c r="D65" i="1"/>
  <c r="E31" i="2" l="1"/>
  <c r="E30" i="2"/>
  <c r="E117" i="2" l="1"/>
  <c r="E84" i="2"/>
  <c r="E83" i="2"/>
  <c r="E42" i="2"/>
  <c r="E24" i="2"/>
  <c r="E21" i="2"/>
  <c r="E36" i="2" l="1"/>
  <c r="E28" i="2" s="1"/>
  <c r="E81" i="2"/>
  <c r="G28" i="2" l="1"/>
  <c r="I28" i="2" s="1"/>
  <c r="F153" i="1" l="1"/>
  <c r="H153" i="1" s="1"/>
  <c r="D153" i="1"/>
  <c r="D142" i="1"/>
  <c r="F123" i="1"/>
  <c r="H123" i="1" s="1"/>
  <c r="D123" i="1"/>
  <c r="F120" i="1"/>
  <c r="D120" i="1"/>
  <c r="F116" i="1"/>
  <c r="H116" i="1" s="1"/>
  <c r="D116" i="1"/>
  <c r="D107" i="1"/>
  <c r="D70" i="1"/>
  <c r="F67" i="1"/>
  <c r="H67" i="1" s="1"/>
  <c r="D67" i="1"/>
  <c r="F62" i="1"/>
  <c r="H62" i="1" s="1"/>
  <c r="D62" i="1"/>
  <c r="F54" i="1"/>
  <c r="H54" i="1" s="1"/>
  <c r="D54" i="1"/>
  <c r="F51" i="1"/>
  <c r="H51" i="1" s="1"/>
  <c r="D51" i="1"/>
  <c r="F41" i="1"/>
  <c r="H41" i="1" s="1"/>
  <c r="D41" i="1"/>
  <c r="F37" i="1"/>
  <c r="H37" i="1" s="1"/>
  <c r="D37" i="1"/>
  <c r="F33" i="1"/>
  <c r="H33" i="1" s="1"/>
  <c r="D33" i="1"/>
  <c r="D32" i="1" s="1"/>
  <c r="F30" i="1"/>
  <c r="H30" i="1" s="1"/>
  <c r="D30" i="1"/>
  <c r="F28" i="1"/>
  <c r="H28" i="1" s="1"/>
  <c r="D28" i="1"/>
  <c r="F24" i="1"/>
  <c r="H24" i="1" s="1"/>
  <c r="D24" i="1"/>
  <c r="F19" i="1"/>
  <c r="H19" i="1" s="1"/>
  <c r="D19" i="1"/>
  <c r="F16" i="1"/>
  <c r="H16" i="1" s="1"/>
  <c r="D16" i="1"/>
  <c r="F10" i="1"/>
  <c r="H10" i="1" s="1"/>
  <c r="D10" i="1"/>
  <c r="G131" i="2"/>
  <c r="I131" i="2" s="1"/>
  <c r="E131" i="2"/>
  <c r="E97" i="2"/>
  <c r="G92" i="2"/>
  <c r="I92" i="2" s="1"/>
  <c r="E92" i="2"/>
  <c r="E80" i="2"/>
  <c r="G77" i="2"/>
  <c r="I77" i="2" s="1"/>
  <c r="E77" i="2"/>
  <c r="E70" i="2" s="1"/>
  <c r="E55" i="2"/>
  <c r="G49" i="2"/>
  <c r="I49" i="2" s="1"/>
  <c r="E49" i="2"/>
  <c r="E18" i="2"/>
  <c r="E9" i="2"/>
  <c r="D83" i="2"/>
  <c r="F130" i="1" l="1"/>
  <c r="H130" i="1" s="1"/>
  <c r="F107" i="1"/>
  <c r="H107" i="1" s="1"/>
  <c r="D115" i="1"/>
  <c r="D131" i="1" s="1"/>
  <c r="G70" i="2"/>
  <c r="I70" i="2" s="1"/>
  <c r="F115" i="1"/>
  <c r="H115" i="1" s="1"/>
  <c r="D15" i="1"/>
  <c r="F15" i="1"/>
  <c r="H15" i="1" s="1"/>
  <c r="F32" i="1"/>
  <c r="H32" i="1" s="1"/>
  <c r="D130" i="1"/>
  <c r="F142" i="1"/>
  <c r="H142" i="1" s="1"/>
  <c r="E8" i="2"/>
  <c r="E122" i="2" s="1"/>
  <c r="E123" i="2" s="1"/>
  <c r="G18" i="2"/>
  <c r="I18" i="2" s="1"/>
  <c r="G9" i="2"/>
  <c r="I9" i="2" s="1"/>
  <c r="G55" i="2"/>
  <c r="I55" i="2" s="1"/>
  <c r="G81" i="2"/>
  <c r="I81" i="2" s="1"/>
  <c r="G97" i="2"/>
  <c r="I97" i="2" s="1"/>
  <c r="E134" i="2" l="1"/>
  <c r="F131" i="1"/>
  <c r="H131" i="1" s="1"/>
  <c r="D126" i="1"/>
  <c r="D129" i="1" s="1"/>
  <c r="D136" i="1" s="1"/>
  <c r="D159" i="1" s="1"/>
  <c r="F126" i="1"/>
  <c r="H126" i="1" s="1"/>
  <c r="G80" i="2"/>
  <c r="I80" i="2" s="1"/>
  <c r="G8" i="2"/>
  <c r="I8" i="2" s="1"/>
  <c r="C141" i="1"/>
  <c r="D65" i="2"/>
  <c r="F129" i="1" l="1"/>
  <c r="H129" i="1" s="1"/>
  <c r="G122" i="2"/>
  <c r="I122" i="2" s="1"/>
  <c r="G123" i="2" l="1"/>
  <c r="I123" i="2" s="1"/>
  <c r="F136" i="1"/>
  <c r="D94" i="2"/>
  <c r="D19" i="2"/>
  <c r="D10" i="2"/>
  <c r="D91" i="2"/>
  <c r="C63" i="1"/>
  <c r="C97" i="1"/>
  <c r="C85" i="1"/>
  <c r="C72" i="1"/>
  <c r="C71" i="1"/>
  <c r="C27" i="1"/>
  <c r="C25" i="1"/>
  <c r="D42" i="2"/>
  <c r="D15" i="2"/>
  <c r="D20" i="2"/>
  <c r="D111" i="2"/>
  <c r="D30" i="2"/>
  <c r="D116" i="2"/>
  <c r="H136" i="1" l="1"/>
  <c r="F159" i="1"/>
  <c r="H159" i="1"/>
  <c r="G134" i="2"/>
  <c r="I134" i="2" s="1"/>
  <c r="D71" i="2"/>
  <c r="D58" i="2"/>
  <c r="D57" i="2"/>
  <c r="D73" i="2" l="1"/>
  <c r="D16" i="2" l="1"/>
  <c r="D41" i="2"/>
  <c r="D36" i="2" s="1"/>
  <c r="D28" i="2" s="1"/>
  <c r="D14" i="2"/>
  <c r="D50" i="2"/>
  <c r="D21" i="2"/>
  <c r="D11" i="2"/>
  <c r="D13" i="2"/>
  <c r="D12" i="2"/>
  <c r="D82" i="2"/>
  <c r="D121" i="2"/>
  <c r="D95" i="2"/>
  <c r="C26" i="1" l="1"/>
  <c r="C123" i="1" l="1"/>
  <c r="C120" i="1"/>
  <c r="C19" i="1"/>
  <c r="C33" i="1" l="1"/>
  <c r="D105" i="2" l="1"/>
  <c r="D61" i="2" l="1"/>
  <c r="D110" i="2" l="1"/>
  <c r="D49" i="2" l="1"/>
  <c r="D81" i="2" l="1"/>
  <c r="D18" i="2"/>
  <c r="D117" i="2"/>
  <c r="D97" i="2" s="1"/>
  <c r="D92" i="2"/>
  <c r="C96" i="1"/>
  <c r="C116" i="1"/>
  <c r="C108" i="1"/>
  <c r="C74" i="1"/>
  <c r="C70" i="1"/>
  <c r="C67" i="1"/>
  <c r="C62" i="1"/>
  <c r="C54" i="1"/>
  <c r="C41" i="1"/>
  <c r="C51" i="1"/>
  <c r="C37" i="1"/>
  <c r="C32" i="1"/>
  <c r="C30" i="1"/>
  <c r="C28" i="1"/>
  <c r="C24" i="1"/>
  <c r="C16" i="1"/>
  <c r="C10" i="1"/>
  <c r="C130" i="1" l="1"/>
  <c r="C107" i="1"/>
  <c r="C115" i="1"/>
  <c r="C131" i="1" s="1"/>
  <c r="C15" i="1"/>
  <c r="D9" i="2"/>
  <c r="D8" i="2" s="1"/>
  <c r="D131" i="2" l="1"/>
  <c r="D80" i="2"/>
  <c r="D77" i="2"/>
  <c r="D60" i="2"/>
  <c r="D55" i="2"/>
  <c r="D70" i="2" l="1"/>
  <c r="D122" i="2" s="1"/>
  <c r="D123" i="2" s="1"/>
  <c r="C153" i="1" l="1"/>
  <c r="C142" i="1"/>
  <c r="C126" i="1"/>
  <c r="C129" i="1" s="1"/>
  <c r="D134" i="2" l="1"/>
  <c r="B108" i="1"/>
  <c r="B107" i="1" s="1"/>
  <c r="B74" i="1"/>
  <c r="C136" i="1" l="1"/>
  <c r="C159" i="1" s="1"/>
  <c r="C30" i="2" l="1"/>
  <c r="B17" i="1" l="1"/>
  <c r="B141" i="1"/>
  <c r="B158" i="1"/>
  <c r="C118" i="2" l="1"/>
  <c r="C75" i="2"/>
  <c r="C65" i="2"/>
  <c r="C58" i="2"/>
  <c r="C43" i="2"/>
  <c r="C42" i="2"/>
  <c r="C36" i="2" s="1"/>
  <c r="C33" i="2" l="1"/>
  <c r="C20" i="2" l="1"/>
  <c r="C83" i="2"/>
  <c r="C54" i="2"/>
  <c r="C86" i="2"/>
  <c r="C84" i="2"/>
  <c r="C21" i="2"/>
  <c r="C12" i="2"/>
  <c r="C11" i="2"/>
  <c r="C73" i="2"/>
  <c r="C71" i="2"/>
  <c r="C90" i="2"/>
  <c r="C31" i="2"/>
  <c r="B27" i="1"/>
  <c r="C10" i="2"/>
  <c r="B25" i="1"/>
  <c r="C50" i="2"/>
  <c r="C82" i="2" l="1"/>
  <c r="C52" i="2"/>
  <c r="C14" i="2"/>
  <c r="C94" i="2"/>
  <c r="C117" i="2"/>
  <c r="C16" i="2" l="1"/>
  <c r="C15" i="2"/>
  <c r="C131" i="2" l="1"/>
  <c r="C92" i="2" l="1"/>
  <c r="C77" i="2"/>
  <c r="C60" i="2"/>
  <c r="C55" i="2"/>
  <c r="C18" i="2"/>
  <c r="C70" i="2" l="1"/>
  <c r="B19" i="1" l="1"/>
  <c r="B16" i="1"/>
  <c r="B123" i="1"/>
  <c r="B120" i="1"/>
  <c r="B116" i="1"/>
  <c r="B96" i="1"/>
  <c r="B70" i="1"/>
  <c r="B67" i="1"/>
  <c r="B62" i="1"/>
  <c r="B54" i="1"/>
  <c r="B51" i="1"/>
  <c r="B41" i="1"/>
  <c r="B37" i="1"/>
  <c r="B33" i="1"/>
  <c r="B30" i="1"/>
  <c r="B28" i="1"/>
  <c r="B24" i="1"/>
  <c r="B130" i="1" l="1"/>
  <c r="B10" i="1"/>
  <c r="B115" i="1"/>
  <c r="B32" i="1"/>
  <c r="B15" i="1"/>
  <c r="B142" i="1" l="1"/>
  <c r="B131" i="1"/>
  <c r="B126" i="1"/>
  <c r="B129" i="1" l="1"/>
  <c r="B136" i="1" s="1"/>
  <c r="B153" i="1" l="1"/>
  <c r="B159" i="1" s="1"/>
  <c r="C28" i="2" l="1"/>
  <c r="C49" i="2" l="1"/>
  <c r="C9" i="2" l="1"/>
  <c r="C81" i="2"/>
  <c r="C80" i="2" l="1"/>
  <c r="C8" i="2"/>
  <c r="C97" i="2" l="1"/>
  <c r="C122" i="2" s="1"/>
  <c r="C123" i="2" s="1"/>
  <c r="C134" i="2" l="1"/>
  <c r="B137" i="1"/>
</calcChain>
</file>

<file path=xl/comments1.xml><?xml version="1.0" encoding="utf-8"?>
<comments xmlns="http://schemas.openxmlformats.org/spreadsheetml/2006/main">
  <authors>
    <author>Author</author>
  </authors>
  <commentList>
    <comment ref="D245" authorId="0" shapeId="0">
      <text>
        <r>
          <rPr>
            <b/>
            <sz val="9"/>
            <color indexed="81"/>
            <rFont val="Tahoma"/>
            <family val="2"/>
          </rPr>
          <t>Author:</t>
        </r>
        <r>
          <rPr>
            <sz val="9"/>
            <color indexed="81"/>
            <rFont val="Tahoma"/>
            <family val="2"/>
          </rPr>
          <t xml:space="preserve">
si la DMPFI</t>
        </r>
      </text>
    </comment>
    <comment ref="D477" authorId="0" shapeId="0">
      <text>
        <r>
          <rPr>
            <b/>
            <sz val="9"/>
            <color indexed="81"/>
            <rFont val="Tahoma"/>
            <family val="2"/>
          </rPr>
          <t>Author:</t>
        </r>
        <r>
          <rPr>
            <sz val="9"/>
            <color indexed="81"/>
            <rFont val="Tahoma"/>
            <family val="2"/>
          </rPr>
          <t xml:space="preserve">
ob inv</t>
        </r>
      </text>
    </comment>
    <comment ref="D533" authorId="0" shapeId="0">
      <text>
        <r>
          <rPr>
            <b/>
            <sz val="9"/>
            <color indexed="81"/>
            <rFont val="Tahoma"/>
            <family val="2"/>
          </rPr>
          <t>Author:</t>
        </r>
        <r>
          <rPr>
            <sz val="9"/>
            <color indexed="81"/>
            <rFont val="Tahoma"/>
            <family val="2"/>
          </rPr>
          <t xml:space="preserve">
E si la DPI
</t>
        </r>
      </text>
    </comment>
    <comment ref="F589" authorId="0" shapeId="0">
      <text>
        <r>
          <rPr>
            <b/>
            <sz val="9"/>
            <color indexed="81"/>
            <rFont val="Tahoma"/>
            <family val="2"/>
          </rPr>
          <t>Author:</t>
        </r>
        <r>
          <rPr>
            <sz val="9"/>
            <color indexed="81"/>
            <rFont val="Tahoma"/>
            <family val="2"/>
          </rPr>
          <t xml:space="preserve">
2080,60 Bei 6;10793 Bei 5</t>
        </r>
      </text>
    </comment>
  </commentList>
</comments>
</file>

<file path=xl/sharedStrings.xml><?xml version="1.0" encoding="utf-8"?>
<sst xmlns="http://schemas.openxmlformats.org/spreadsheetml/2006/main" count="1050" uniqueCount="945">
  <si>
    <t>MUNICIPIUL ORADEA</t>
  </si>
  <si>
    <t>SPECIFICATIE</t>
  </si>
  <si>
    <t>%</t>
  </si>
  <si>
    <t>Impozitul pe profit</t>
  </si>
  <si>
    <t>Cote si sume defalcate din imp pe tranzactii imobiliare</t>
  </si>
  <si>
    <t>Cote si sume defalcate din Imp pe Venit</t>
  </si>
  <si>
    <t>Cote defalcate din Imp pe Venit</t>
  </si>
  <si>
    <t>Impozite si taxe pe proprietate</t>
  </si>
  <si>
    <t>Imp pe cladiri</t>
  </si>
  <si>
    <t xml:space="preserve">        Imp pe cladiri pers. fizice</t>
  </si>
  <si>
    <t xml:space="preserve">        Imp pe cladiri pers. juridice</t>
  </si>
  <si>
    <t>Imp pe terenuri</t>
  </si>
  <si>
    <t xml:space="preserve">        Imp pe terenuri pers. fizice</t>
  </si>
  <si>
    <t xml:space="preserve">        Imp pe terenuri pers. juridice</t>
  </si>
  <si>
    <t>Taxe judiciare de timbru</t>
  </si>
  <si>
    <t>Alte imp. si taxe pe proprietate</t>
  </si>
  <si>
    <t>Sume defalcate din TVA</t>
  </si>
  <si>
    <t>Sume defalcate din TVA pentru finantarea ch. Descentralizate</t>
  </si>
  <si>
    <t>Sume defalcate din TVA pentru echilibrarea bugetelor locale</t>
  </si>
  <si>
    <t>Sume defalcate din taxa pe valoarea adăugată pentru finanțarea învățământului particular sau confesional acreditat</t>
  </si>
  <si>
    <t>Alte imp. si taxe generale</t>
  </si>
  <si>
    <t>Taxe hoteliere</t>
  </si>
  <si>
    <t>Taxe pe servicii specifice</t>
  </si>
  <si>
    <t>Imp. pe spectacole</t>
  </si>
  <si>
    <t>Taxe pe utilizarea bunurilor, autorizarea utilizarii bunurilor si activitatilor</t>
  </si>
  <si>
    <t>Taxe mijloace de transport</t>
  </si>
  <si>
    <t xml:space="preserve">        Taxe mijloace de transport pers fizice</t>
  </si>
  <si>
    <t xml:space="preserve">        Taxe mijloace de transp pers juridice</t>
  </si>
  <si>
    <t>Taxe si tarife eliberare licente si autorizatii de functionare</t>
  </si>
  <si>
    <t>Venituri din proprietate</t>
  </si>
  <si>
    <t>Venituri din concesiuni</t>
  </si>
  <si>
    <t>Venituri din dividende</t>
  </si>
  <si>
    <t>Venituri din prestari de servicii</t>
  </si>
  <si>
    <t>Venituri din prestari de servicii BS- personal medical invat</t>
  </si>
  <si>
    <t>Contrib parinti sau sustinatori legali pentru sustinerea copiilor in crese</t>
  </si>
  <si>
    <t>Contrib.pers.benef.ale cantinelor</t>
  </si>
  <si>
    <t>Venituri din recuperarea cheltuielilor de judecata, imputatii si despagubiri</t>
  </si>
  <si>
    <t>Alte venituri din prestari de servicii si alte activitati</t>
  </si>
  <si>
    <t>Venituri din taxe administrative, eliberari permise</t>
  </si>
  <si>
    <t>Taxe extrajudiciare de timbru</t>
  </si>
  <si>
    <t>Alte venituri din taxe administrative</t>
  </si>
  <si>
    <t>Amenzi, penalitati si confiscari</t>
  </si>
  <si>
    <t>Venituri din amenzi si alte sanctiuni aplicate cf. Legii</t>
  </si>
  <si>
    <t>Alte amenzi, penalitati si confiscari</t>
  </si>
  <si>
    <t>Diverse venituri</t>
  </si>
  <si>
    <t>Venituri din aplicarea prescriptiei extinctive</t>
  </si>
  <si>
    <t>Taxe speciale</t>
  </si>
  <si>
    <t>Taxa de reabilitare termică</t>
  </si>
  <si>
    <t>Alte venituri</t>
  </si>
  <si>
    <t>Transferuri voluntare altele decat subv</t>
  </si>
  <si>
    <t>Donatii si sponsorizari</t>
  </si>
  <si>
    <t>Vărsăminte din secţiunea de funcţionare pentru finanţarea secţiunii de dezvoltare a bugetului local (cu semnul minus)</t>
  </si>
  <si>
    <t>Vărsăminte din secţiunea de funcţionare</t>
  </si>
  <si>
    <t>Alte transferuri voluntare</t>
  </si>
  <si>
    <t>Venituri din valorificarea unor bunuri</t>
  </si>
  <si>
    <t>Venituri din valorif.unor bunuri ale instit publ</t>
  </si>
  <si>
    <t>Venituri din vanzarea unor bunuri apartinand domeniului privat</t>
  </si>
  <si>
    <t>Subventii de la bugetul de stat</t>
  </si>
  <si>
    <t>Retehnologizarea centralelor termice şi electrice  de termoficare</t>
  </si>
  <si>
    <t>Subvenţii de la bugetul de stat către bugetele locale pentru finanţarea altor investiţii în sănătate</t>
  </si>
  <si>
    <t>Subv de la BS catre BL proiecte UE</t>
  </si>
  <si>
    <t>Subv pentru acordarea ajutorului pt incalz locuintei cu lemne, carbuni, comb petrolier</t>
  </si>
  <si>
    <t>Subv.de la BS pt.finantarea sanatatii</t>
  </si>
  <si>
    <t>Subvenţii de la bugetul de stat către bugetele locale necesare susţinerii derulării proiectelor finanţate din fonduri externe nerambursabile (FEN) postaderare aferete perioadei de programare 2014-2020</t>
  </si>
  <si>
    <t>Subventii de la alte administratii</t>
  </si>
  <si>
    <t>Subventii primite de la bugetele consil. Judetene pentru protectia copilului</t>
  </si>
  <si>
    <t>Subventii primite din bugetul judetului pentru clasele de invatamant special organizate in cadrul unitatilor de invatamant de masa</t>
  </si>
  <si>
    <t>Sume primite de la bugetul județului pentru plata drepturilor de care beneficiază copiii cu cerințe educaţionale speciale integraţi în învăţământul de masă</t>
  </si>
  <si>
    <t>Sume primite de la UE in ct.pl.ef</t>
  </si>
  <si>
    <t>Fd.europ. De dezv.Regionala</t>
  </si>
  <si>
    <t>Sume primite in ct.anii anteriori</t>
  </si>
  <si>
    <t>Prefinantare</t>
  </si>
  <si>
    <t>Fondul Social European</t>
  </si>
  <si>
    <t>Sume primite în contul plăţilor efectuate în anul curent</t>
  </si>
  <si>
    <t>Sume primite in contul platilor efectuate in anii anteriori</t>
  </si>
  <si>
    <t>Sume primite de la UE/alti donatori in contul platilor efectuate si prefinantari aferente cadrului financiar 2014-2020</t>
  </si>
  <si>
    <t>TOTAL VENITURI BUGET LOCAL</t>
  </si>
  <si>
    <t>SINTEZA</t>
  </si>
  <si>
    <t>Venituri proprii</t>
  </si>
  <si>
    <t>Prelevari buget de stat</t>
  </si>
  <si>
    <t>Fonduri UE</t>
  </si>
  <si>
    <t>Excedent Buget  din care</t>
  </si>
  <si>
    <t xml:space="preserve">Excedent Buget Local-Venituri proprii </t>
  </si>
  <si>
    <t>Excedent Buget Local-fd Europene</t>
  </si>
  <si>
    <t>Excedent Buget Local-proiecte europene BS</t>
  </si>
  <si>
    <t>Total I buget local</t>
  </si>
  <si>
    <t>Imprumuturi</t>
  </si>
  <si>
    <t>III. BUGETUL INSTITUTIILOR PUBLICE SI ACTIVITATILOR FINANTATE INTEGRAL SAU PARTIAL DIN VENITURI PROPRII</t>
  </si>
  <si>
    <t>* Unitati de invatamant</t>
  </si>
  <si>
    <t>* CSM Oradea</t>
  </si>
  <si>
    <t>* Spitale</t>
  </si>
  <si>
    <t>* Cetate</t>
  </si>
  <si>
    <t>Excedent spitale+scoli an anterior</t>
  </si>
  <si>
    <t>Venituri proprii ale institutiilor publice</t>
  </si>
  <si>
    <t>IV.  BUGETUL FONDURILOR NERAMBURSABILE-Mecanism econ.</t>
  </si>
  <si>
    <t xml:space="preserve">TOTAL VENITURI BUGET CONSOLIDAT </t>
  </si>
  <si>
    <t>Nr. crt.</t>
  </si>
  <si>
    <t>A</t>
  </si>
  <si>
    <t>Institutii publice</t>
  </si>
  <si>
    <t>Cheltuieli de personal</t>
  </si>
  <si>
    <t>Primaria Municipiului Oradea</t>
  </si>
  <si>
    <t>Cresa Oradea</t>
  </si>
  <si>
    <t>Evidenta Populatiei</t>
  </si>
  <si>
    <t>Politia Locală Oradea</t>
  </si>
  <si>
    <t>Bunuri si servicii</t>
  </si>
  <si>
    <t>B</t>
  </si>
  <si>
    <t>Invatamant</t>
  </si>
  <si>
    <t>bunuri si servicii</t>
  </si>
  <si>
    <t>finantarea invatamantului privat sau confesional acreditat</t>
  </si>
  <si>
    <t>Tichete de cresa si tichete sociale pentru gradinita</t>
  </si>
  <si>
    <t>C</t>
  </si>
  <si>
    <t>Sanatate</t>
  </si>
  <si>
    <t>Asistenti comunitari-chelt.de personal</t>
  </si>
  <si>
    <t>fd handicap pt pers neincadrate</t>
  </si>
  <si>
    <t>D</t>
  </si>
  <si>
    <t>Sport+cultura</t>
  </si>
  <si>
    <t>CSM Oradea</t>
  </si>
  <si>
    <t>Intretinere baze sportive - DPI</t>
  </si>
  <si>
    <t>Intretinere Cetatea Oradea+Orasel</t>
  </si>
  <si>
    <t>E</t>
  </si>
  <si>
    <t>Fin progr cult, mediu, sport, etc</t>
  </si>
  <si>
    <t xml:space="preserve">culte </t>
  </si>
  <si>
    <t>F</t>
  </si>
  <si>
    <t>Servicii publice</t>
  </si>
  <si>
    <t xml:space="preserve">       - salubritate</t>
  </si>
  <si>
    <t xml:space="preserve">       - iluminat </t>
  </si>
  <si>
    <t xml:space="preserve">       - spatii verzi</t>
  </si>
  <si>
    <t xml:space="preserve">       - reparatii drumuri </t>
  </si>
  <si>
    <t xml:space="preserve">       - alte actiuni gospodaresti</t>
  </si>
  <si>
    <t>G</t>
  </si>
  <si>
    <t>Asistenta sociala</t>
  </si>
  <si>
    <t>Actiuni sociale ASCO</t>
  </si>
  <si>
    <t xml:space="preserve">      - salarii insotitori pers handicap+  fd handicap</t>
  </si>
  <si>
    <t xml:space="preserve">      - ajut, indemn, etc</t>
  </si>
  <si>
    <t xml:space="preserve">      - fond handicap persoane neincadrate</t>
  </si>
  <si>
    <t>donatori sange din afara localitatii</t>
  </si>
  <si>
    <t>H</t>
  </si>
  <si>
    <t>Datoria publica</t>
  </si>
  <si>
    <t xml:space="preserve">      - rambursari rate</t>
  </si>
  <si>
    <t xml:space="preserve">      - dobanzi+comisioane</t>
  </si>
  <si>
    <t xml:space="preserve">      - rambursari  credite proiecte europene</t>
  </si>
  <si>
    <t>I</t>
  </si>
  <si>
    <t>Fd rezerva CAO +garant CAO (BERD)</t>
  </si>
  <si>
    <t>J</t>
  </si>
  <si>
    <t>Altele</t>
  </si>
  <si>
    <t xml:space="preserve">     - cotizatie ZMO</t>
  </si>
  <si>
    <t xml:space="preserve">     - cotizatie Transregio</t>
  </si>
  <si>
    <t xml:space="preserve">     - contributie Fundatia Monum Istorice</t>
  </si>
  <si>
    <t xml:space="preserve">     - cotizatie APAREGIO</t>
  </si>
  <si>
    <t xml:space="preserve">      - Contributie ADR Nord Vest</t>
  </si>
  <si>
    <t xml:space="preserve">     - Asociatia pt.promovarea turismului</t>
  </si>
  <si>
    <t xml:space="preserve">     - protectie civila</t>
  </si>
  <si>
    <t xml:space="preserve">     - asigurare Termoficare</t>
  </si>
  <si>
    <t xml:space="preserve">     - Plăţi  efectuate în anii precedenţi şi recuperate în anul curent</t>
  </si>
  <si>
    <t>TOTAL CHELTUIELI DE FUNCTIONARE</t>
  </si>
  <si>
    <t xml:space="preserve">* Unitati de invatamant </t>
  </si>
  <si>
    <t xml:space="preserve">* Spitale </t>
  </si>
  <si>
    <t>Ch din ven pr inst pub</t>
  </si>
  <si>
    <t>TOTAL CHELTUIELI OPERATIONALE</t>
  </si>
  <si>
    <t xml:space="preserve">Subventii de la bugetul de stat catre bugetele locale pentru finantarea aparaturii medicale si echipamentelor de comunicatii în urgenta in sanatate </t>
  </si>
  <si>
    <t xml:space="preserve">Subvenţii de la bugetul de stat către bugetele locale pentru finanţarea reparaţiilor capitale în sănătate </t>
  </si>
  <si>
    <t>protocol UNAP</t>
  </si>
  <si>
    <t>Spital Judetean</t>
  </si>
  <si>
    <t>Mecanism European Spitale -Sursa D</t>
  </si>
  <si>
    <t xml:space="preserve">     - fond handicap institutii art.59.40 (PMO, SPCLEP)</t>
  </si>
  <si>
    <t xml:space="preserve">       - subventii de exploatare</t>
  </si>
  <si>
    <t>Alte venituri pentru finanțarea secțiunii de dezvoltare</t>
  </si>
  <si>
    <t>transfer sume Universitatea din Oradea pentru finantare proiecte UE</t>
  </si>
  <si>
    <t xml:space="preserve">      - Contributie Ecolect</t>
  </si>
  <si>
    <t>Subvenţii de la bugetul de stat pentru decontarea cheltuielilor pentru carantina</t>
  </si>
  <si>
    <t>Subventii primite de la bugetele consiliilor locale si judetene pentru ajutoare in situatii de extrema dificultate</t>
  </si>
  <si>
    <t>protocol palat Baroc</t>
  </si>
  <si>
    <t xml:space="preserve">Contributia asociatiei de proprietari pentru lucrările de reabilitare termică </t>
  </si>
  <si>
    <t>Sume alocate din bugetul AFIR, pentru susținerea proiectelor din PNDR 2014-2020****)</t>
  </si>
  <si>
    <t>CJ Muzeu</t>
  </si>
  <si>
    <t>Sume alocate din sumele obţinute în urma scoaterii la licitaţie a certificatelor de emisii de gaze cu efect de seră pentru finanţarea proiectelor de investiţii</t>
  </si>
  <si>
    <t>DPI</t>
  </si>
  <si>
    <t>Subv tarif OTL</t>
  </si>
  <si>
    <t>Asistenti comunitari-chelt.mat BS</t>
  </si>
  <si>
    <t>Asistenti comunitari-chelt.mat (BL)</t>
  </si>
  <si>
    <t>Subv tarif TERMOFICARE</t>
  </si>
  <si>
    <t>Subvenții pentru compensarea creșterilor neprevizionate ale prețurilor la combustibili</t>
  </si>
  <si>
    <t>Finantare rambursabila ( credite)</t>
  </si>
  <si>
    <t>finantari neramb (tineret si ONG-uri)</t>
  </si>
  <si>
    <t>II.  BUGETUL IMPRUMUTURILOR INTERNE SI EXTERNE</t>
  </si>
  <si>
    <t xml:space="preserve">Încasări din rambursarea împrumuturilor acordate         </t>
  </si>
  <si>
    <t xml:space="preserve">Sume din excedentul anului precedent pentru acoperirea golurilor temporare de casă ale secţiunii de funcţionare**) </t>
  </si>
  <si>
    <t>Sume din excedentul bugetului local utilizate pentru finanţarea cheltuielilor secţiunii de dezvoltare*</t>
  </si>
  <si>
    <t xml:space="preserve"> - Don Orione</t>
  </si>
  <si>
    <t xml:space="preserve">Alte impozite pe venit, profit si castiguri din capital </t>
  </si>
  <si>
    <t>Alte impozite pe venit, profit si castiguri din capital   (cod 05.02.50)</t>
  </si>
  <si>
    <t>despagubiri civile</t>
  </si>
  <si>
    <t>protocol Don Orione + chelt.pers. Micherechi+ recup. Ces cf.dec.curte cont+ transf sume unit inv (autof)+copii cu CES+ chelt.coorganizare competitii scolare si transport elevi+transfer sume Cj.+invat dual+burse IT</t>
  </si>
  <si>
    <t xml:space="preserve">     - sume de restituit BS</t>
  </si>
  <si>
    <t>Redevențe miniere</t>
  </si>
  <si>
    <t>Venituri din recuperarea cheltuielilor efectuate în cursul procesului de executare silită</t>
  </si>
  <si>
    <t xml:space="preserve"> Mecanisme financiare Spaţiul Economic European și Norvegian 2014-2021 -Sume primite în contul plăţilor efectuate în anul curent</t>
  </si>
  <si>
    <t>Mecanisme financiare Spaţiul Economic European și Norvegian 2014-2021-Sume primite în contul plăţilor efectuate în anii anteriori</t>
  </si>
  <si>
    <t>FEDR</t>
  </si>
  <si>
    <t>SEE si Norvegian</t>
  </si>
  <si>
    <t>Sume alocate de catre responsabilii de implementare a investitiilor specifice locale din sume de la bugetul de stat aferente asistenței financiare nerambursabile a PNRR- Fonduri europene nerambursabile</t>
  </si>
  <si>
    <t>Sume alocate de catre responsabilii de implementare a investitiilor specifice locale din sume de la bugetul de stat aferente asistenței financiare nerambursabile a PNRR- Sume aferente TVA</t>
  </si>
  <si>
    <t>Alocari de sume din PNRR aferente asistenței financiare nerambursabile  - Fonduri europene nerambursabile</t>
  </si>
  <si>
    <t>Alocari de sume din PNRR aferente asistenței financiare nerambursabile - Sume aferente TVA</t>
  </si>
  <si>
    <t>Sume repartizate din Fondul la dispozitia consiliului judetean</t>
  </si>
  <si>
    <t xml:space="preserve"> -Micherechi</t>
  </si>
  <si>
    <t>Subvenţii din bugetul de stat alocate conform contractelor încheiate cu direcţiile de sănătate publică</t>
  </si>
  <si>
    <t>I. Vulcan</t>
  </si>
  <si>
    <t xml:space="preserve">     - cotizatie Clusterm</t>
  </si>
  <si>
    <t>- CES</t>
  </si>
  <si>
    <t>- dual</t>
  </si>
  <si>
    <t>- burse IT</t>
  </si>
  <si>
    <t>- Burse SC</t>
  </si>
  <si>
    <t>pers neincadrate Cresa</t>
  </si>
  <si>
    <t>-cotiz. Asociatia Club Sportiv  Fotbalistic Oradea</t>
  </si>
  <si>
    <t>Alte subventii  primite de la administratia centrala pentru finantarea unor activitati</t>
  </si>
  <si>
    <t xml:space="preserve">     - despagubiri civile PMO</t>
  </si>
  <si>
    <t xml:space="preserve">     - stimulent casare autovehicule uzate</t>
  </si>
  <si>
    <t>executie previzionata 31.12.2023</t>
  </si>
  <si>
    <t>executie preliminata 31.12.2023</t>
  </si>
  <si>
    <t>executie  31.12.2023</t>
  </si>
  <si>
    <t>executie 31.12.2023</t>
  </si>
  <si>
    <t>Finanţarea Programului Naţional de Dezvoltare Locală</t>
  </si>
  <si>
    <t>Executie preliminata 31.12.2024</t>
  </si>
  <si>
    <t>Executie  31.12.2023</t>
  </si>
  <si>
    <t>suport alimentar-Masa sanatoasa</t>
  </si>
  <si>
    <t>Imbunatatirea bazei materiale a Facultatii de Medicina si Farmacie Oradea in vederea cresterii capacitatii de pregatire a rezidentilor -Legea 421/2023</t>
  </si>
  <si>
    <t>Episcopia Greco Catolica-Organizarea simpozion -,,Rolul preotului intr-o societate in schimbare''-Legea 421/2023</t>
  </si>
  <si>
    <t>Reabilitare, modernizare, dotare  Biserica Ortodoxa Sfantul Duh Mangaietorul-Legea 421/2023</t>
  </si>
  <si>
    <t>Reabilitare/modernizare, dotare Biserica cu Luna-Legea 421/2023</t>
  </si>
  <si>
    <t xml:space="preserve">     - serv  de administrare incubator</t>
  </si>
  <si>
    <t xml:space="preserve">     - serv  de administrare parc de specializare inteligenta</t>
  </si>
  <si>
    <t xml:space="preserve">     - transfer ajutor calamit Stauceni</t>
  </si>
  <si>
    <t xml:space="preserve">     -  bunuri si servicii aferente PNRR</t>
  </si>
  <si>
    <t>recensamant/alegeri locale</t>
  </si>
  <si>
    <t>Executie 31.12.2024</t>
  </si>
  <si>
    <t>Buget initial 2025</t>
  </si>
  <si>
    <t>bugetare participativa 6.0</t>
  </si>
  <si>
    <t>tabara elevi din Odesa HCL 1010/2024</t>
  </si>
  <si>
    <t>Reparatii si dotari cladire Gradinita cu predare in limba slovaca</t>
  </si>
  <si>
    <t>Sume aferente investitiilor din Fondul pentru modernizare</t>
  </si>
  <si>
    <t>Fondul de coeziune</t>
  </si>
  <si>
    <t>Alocări de sume din PNRR aferente componentei împrumuturi-Fonduri din împrumut rambursabil</t>
  </si>
  <si>
    <t>Alocări de sume din PNRR aferente componentei împrumuturi Finantare publica naționala</t>
  </si>
  <si>
    <t>Alocări de sume din PNRR aferente componentei împrumuturi -Sume aferente TVA</t>
  </si>
  <si>
    <t>Subvenţii de la bugetul de stat către bugetele locale necesare susţinerii derulării proiectelor finanţate din FEN postaderare, aferente perioadei de programare 2021-2027</t>
  </si>
  <si>
    <t>Buget rectificat 2025</t>
  </si>
  <si>
    <t>despagubiri civile Gojdu(burse)</t>
  </si>
  <si>
    <t xml:space="preserve">     -  activit miniere- en. Geotermala</t>
  </si>
  <si>
    <t>alegeri locale-cap. 54.02.50</t>
  </si>
  <si>
    <t>Sume primite în cadrul mecanismului decontării cererilor de plată</t>
  </si>
  <si>
    <t>DASO</t>
  </si>
  <si>
    <t>Sume primite în contul plăţilor efectuate în anii precedenti</t>
  </si>
  <si>
    <t>Executie 30.11.2025</t>
  </si>
  <si>
    <t>cazare+masa elevi R. Moldova</t>
  </si>
  <si>
    <t xml:space="preserve">Subventii primite de la bugetul de stat pentru finantarea unor programe de interes national  și a altor programe multianuale, destinate sectiunii de dezvoltare a bugetului local </t>
  </si>
  <si>
    <t>Fonduri europene nerambursabile</t>
  </si>
  <si>
    <t>Sume aferente TVA</t>
  </si>
  <si>
    <t>Executie 31.12.2025</t>
  </si>
  <si>
    <t>propunere 2026</t>
  </si>
  <si>
    <t xml:space="preserve">     - Promovarea turistica a Județului Bihor pe piețe internaționale relevante 2026-2028-transfer sume Cons Jud. Bihor CF hcl 738/2025</t>
  </si>
  <si>
    <t xml:space="preserve">DASO -Centrul de zi protectia copil    </t>
  </si>
  <si>
    <t>DASO -Centrul de zi -Calea Clujului</t>
  </si>
  <si>
    <t>Nr crt</t>
  </si>
  <si>
    <t>TOTAL</t>
  </si>
  <si>
    <t>Buget local</t>
  </si>
  <si>
    <t>Buget de stat</t>
  </si>
  <si>
    <t>Credite bancare</t>
  </si>
  <si>
    <t>Surse proprii ale inst pub</t>
  </si>
  <si>
    <t xml:space="preserve"> Fond IID</t>
  </si>
  <si>
    <t>Surse neramb</t>
  </si>
  <si>
    <t>DIRECTIA LOGISTICA</t>
  </si>
  <si>
    <t>II</t>
  </si>
  <si>
    <t>COMPARTIMENT IT</t>
  </si>
  <si>
    <t>III</t>
  </si>
  <si>
    <t>DIRECTIA ARHITECT SEF</t>
  </si>
  <si>
    <t>IV</t>
  </si>
  <si>
    <t>V</t>
  </si>
  <si>
    <t>POLITIA LOCALA ORADEA</t>
  </si>
  <si>
    <t>VI</t>
  </si>
  <si>
    <t>OTL</t>
  </si>
  <si>
    <t>VII</t>
  </si>
  <si>
    <t>COMPANIA DE APA</t>
  </si>
  <si>
    <t>VIII</t>
  </si>
  <si>
    <t>TERMOFICARE</t>
  </si>
  <si>
    <t>IX</t>
  </si>
  <si>
    <t>ADP</t>
  </si>
  <si>
    <t>X</t>
  </si>
  <si>
    <t>ZONA METROPOLITANA ORADEA</t>
  </si>
  <si>
    <t>XI</t>
  </si>
  <si>
    <t>ADLO</t>
  </si>
  <si>
    <t>XII</t>
  </si>
  <si>
    <t>DIRECTIA TEHNICA</t>
  </si>
  <si>
    <t>XIII</t>
  </si>
  <si>
    <t>DIRECTIA PATRIMONIU IMOBILIAR</t>
  </si>
  <si>
    <t>XIV</t>
  </si>
  <si>
    <t>APLICATII FINANTARI EUROPENE</t>
  </si>
  <si>
    <t>XV</t>
  </si>
  <si>
    <t>SPITALE</t>
  </si>
  <si>
    <t>XVI</t>
  </si>
  <si>
    <t>UNITATI INVATAMANT</t>
  </si>
  <si>
    <t>Anexa nr. 3</t>
  </si>
  <si>
    <t>PROGRAMUL DE INVESTITII FINANTAT DIN BUGETUL CONSOLIDAT AL MUNICIPIULUI ORADEA IN ANUL 2026</t>
  </si>
  <si>
    <t>SINTETIC</t>
  </si>
  <si>
    <t>Mii lei</t>
  </si>
  <si>
    <t>ANALITIC</t>
  </si>
  <si>
    <t>Lucrari de reabilitare retele exterioare ale cladirii PMO corp principal si secundar, retelele din curte pana la bransament</t>
  </si>
  <si>
    <t>Lucrari de reabilitare interioara si exterioara cladirea Primariei, corp secundar din str. Primariei 3</t>
  </si>
  <si>
    <t>Sistem climatizare Piramida+Cantina</t>
  </si>
  <si>
    <t xml:space="preserve">Etilotest profesional </t>
  </si>
  <si>
    <t>Catarge fibra de sticla -6 bucati</t>
  </si>
  <si>
    <t>Studiu audibilitate pentru sistem alarmare oras</t>
  </si>
  <si>
    <t>Modernizare sistem alarmare publica municipiu-centrala si cofrete pentru sirene</t>
  </si>
  <si>
    <t>Sistem de acces usi pe baza de cartela in cladirea PMO</t>
  </si>
  <si>
    <t>Aparate foto cu accesorii complexe -2 bucati SPCLEP</t>
  </si>
  <si>
    <t>Proiectoare exterioare fixe pe stalpi de iluminat stradal pentru iluminat artistic cladirea PMO</t>
  </si>
  <si>
    <t>Ansamblu carte de onoare cu suport si accesorii</t>
  </si>
  <si>
    <t xml:space="preserve">Lucrari de reabilitare adaposturi de protectie civila din municipiu </t>
  </si>
  <si>
    <t>Centrala telefonica PMO</t>
  </si>
  <si>
    <t>Platformă GIS integrată pentru toate serviciile PMO</t>
  </si>
  <si>
    <t>Dezvoltare și asigurare asistență tehnică portal servicii online Digital Oradea</t>
  </si>
  <si>
    <t>Realizarea sistem de pontaj la nivelul PMO</t>
  </si>
  <si>
    <t>Interconectări platforme soft și baze de date, optimizarea softurilor interne pentru preluare date</t>
  </si>
  <si>
    <t>Servere Data Center Primăria Oradea</t>
  </si>
  <si>
    <t>Sistem Wi-Fi la Oradea Arena, pentru 5.000 de utilizatori simultan</t>
  </si>
  <si>
    <t>Unitate backup rapida 100TB, pentru recuperare rapidă în caz de incidente, conexă la Data Center</t>
  </si>
  <si>
    <t>Upgrade fortigate 200E la 401F - Firewall/VPN/Router 2xHA</t>
  </si>
  <si>
    <t>Upgrade Microsoft SQL Enterprise - Baza de date pentru Impotax &amp; CO pentru host cu 2xCPU 16Core</t>
  </si>
  <si>
    <t>Acord-cadru 3 ani Microsoft 365 (Upgrade de la 385 la 450 de licențe/utilizatori Microsoft Premium / Standard / Basic + Defence suită M365 Email+Office)</t>
  </si>
  <si>
    <t>Cybersecurity - Platformă completă de securitate XDR (Extended Detection &amp; Response) - Faza 1</t>
  </si>
  <si>
    <t>Dezvoltarea infrastructurii software pentru digitalizarea proceselor administrative, împreună cu serviciile de instalare, configurare, dezvoltare și suport aferente</t>
  </si>
  <si>
    <t xml:space="preserve"> PUZ constituire drumuri colectoare zona centurii Oradea, calea Ogorului, tronson intre str. Nufarului, DC54 </t>
  </si>
  <si>
    <t>PUZCP zona Cetatea Oradea</t>
  </si>
  <si>
    <t>PUZ Zona Aeroport</t>
  </si>
  <si>
    <t>PUZ -refunctionalizare si creeare drum acces Spitalul Judetean str Republicii nr.37</t>
  </si>
  <si>
    <t xml:space="preserve"> Expertize, proiecte tehnice </t>
  </si>
  <si>
    <t xml:space="preserve">Taxe avize </t>
  </si>
  <si>
    <t>DIRECTIA DE ASISTENTA SOCIALA ORADEA</t>
  </si>
  <si>
    <t>Ecograf portabil - 2 buc</t>
  </si>
  <si>
    <t xml:space="preserve">EKG 3 canale 300G - 2 buc </t>
  </si>
  <si>
    <t>Defibrilator portabil - 2 buc</t>
  </si>
  <si>
    <t>Autoutilitara transport persoane cu dizabilitati</t>
  </si>
  <si>
    <t>Kit automatizare pt porti batante-acces auto</t>
  </si>
  <si>
    <t>Motocoasa cu fir</t>
  </si>
  <si>
    <t>Sistem de calcul + monitor - 12 buc</t>
  </si>
  <si>
    <t xml:space="preserve">Multifunctionala 4in1 color A4 </t>
  </si>
  <si>
    <t xml:space="preserve">NVR 8 canale pt inregistrare CCTV </t>
  </si>
  <si>
    <t>Camere de supraveghere</t>
  </si>
  <si>
    <t>Aparate de aer conditionat - 20 buc</t>
  </si>
  <si>
    <t>Licente Office 2021</t>
  </si>
  <si>
    <t>Licente Microsoft Windows 11 Pro</t>
  </si>
  <si>
    <t>Elevator pt ridicarea si mutarea persoanelor cu mobilitate redusa</t>
  </si>
  <si>
    <t>Mobilier grupe copii</t>
  </si>
  <si>
    <t>Aparat de aer conditionat - 1 buc</t>
  </si>
  <si>
    <t>Complex de joaca catarare pt curte</t>
  </si>
  <si>
    <t>Amenajare spatiu exterior si complex de joaca</t>
  </si>
  <si>
    <t>Creșa - Stații de lucru</t>
  </si>
  <si>
    <t>Creșa - Licențe stații de lucru</t>
  </si>
  <si>
    <t>Lucrari de reabilitare interioara si exterioara imobil str. Iuliu Maniu 20, ap. 3 (proiect tehnic/demolare)</t>
  </si>
  <si>
    <t xml:space="preserve">Pistoale Glock 6 bucati </t>
  </si>
  <si>
    <t>Sistem de supraveghere body cam pt dotarea politistilor locali</t>
  </si>
  <si>
    <t>Sistem supraveghere corp A(etaj)</t>
  </si>
  <si>
    <t>Sistem supraveghere corp B (parter si etaj)</t>
  </si>
  <si>
    <t xml:space="preserve">Digitalizare panouri informare transport public </t>
  </si>
  <si>
    <t>Reabilitare cale rulare si retea alimentare tramvai pe tronsonul de la interesectia str. Independenței până la stația de tramvai E. Gojdu (DALI+PT+execuție)</t>
  </si>
  <si>
    <t>Expertiză tehnică rezistență pentru clădirile din Depoul de tramvaie Salca în vederea montării de panouri fotovoltaice</t>
  </si>
  <si>
    <t>Expertiză tehnică rezistență relevee și documentație cadastrală pentru obiectivele de investiții Autobaza Salca, str. Atelierelor, în vederea montării de panouri fotovoltaice</t>
  </si>
  <si>
    <t>DALI pentru obiectivul de investiții Autobaza (hală și sediu) în vederea montării panourilor fotovoltaice</t>
  </si>
  <si>
    <t>DALI pentru obiectivul de investiții Depou în vederea montării panourilor fotovoltaice</t>
  </si>
  <si>
    <t>SF pentru execuție copertină în Depou Salca în vederea montării de panouri fotovoltaice</t>
  </si>
  <si>
    <t>SF pentru execuție copertină în Autobaza str. Atelierelor în vederea montării panourilor fotovoltaice</t>
  </si>
  <si>
    <t>Modernizare aparate de ungere linie cale curbe și monitorizare macaze(ungătoare linie cale curbe</t>
  </si>
  <si>
    <t>Sprijin pentru pregatirea aplicatiei de finantare si a documentatiilor de atribuire pentru proiectul regional de dezvoltarea a infrastructurii de apa si apa uzata  din judetul Bihor in perioada 2014-2020 etapa II</t>
  </si>
  <si>
    <t>Proiectul regional de dezvoltare a infrastructurii de apă şi apă uzată din judeţul Bihor, în perioada 2014–2020-SZA ORADEA etapa II</t>
  </si>
  <si>
    <t>Extindere rețea termică primară între str. Ceyrat și Sala Polivalentă - Tancodrom (PT+Executie)</t>
  </si>
  <si>
    <t>Pietonalizare zona Libertății, mun. Oradea - racordarea mini-punctelor termice la rețeaua de transport și  montarea acestora (PT+executie)</t>
  </si>
  <si>
    <t>Modernizarea sistemului de termoficare pe str. Aurel Lazar si Andrei Saguna (PT + execuție)</t>
  </si>
  <si>
    <t xml:space="preserve">Alimentare cu energie termică pentru dezvoltarea imobiliară de pe str. Octavian Goga </t>
  </si>
  <si>
    <t>Reabilitare și modernizare instalații și rețele aferente PT 702 (PT+execuție)</t>
  </si>
  <si>
    <t>Extindere rețea termică primară la un imobil pe str. Barbu Ștefănescu Delavrancea</t>
  </si>
  <si>
    <t>Extindere rețea termică de transport și montare module termice pentru dezvoltarile imobiliare situate pe str. Ion Bradu</t>
  </si>
  <si>
    <t xml:space="preserve">Modernizare instalații PT 713 și alimentarea consumatorilor prin intermediul mini-punctelor termice </t>
  </si>
  <si>
    <t>Racord termic primar pentru Școala Gimnazială Alexandru Roman din Oradea Calea Clujului nr.106</t>
  </si>
  <si>
    <t>Modernizare PT 303</t>
  </si>
  <si>
    <t xml:space="preserve">Extindere retea primara pe str. Ciheiului </t>
  </si>
  <si>
    <t>Extindere rețea de transport la ansamblul rezidential din zona Parcul Seleus (actualizare SF+PT+Executie)</t>
  </si>
  <si>
    <t>Reabilitare cămine de racordare la rețea termică de transport pe străzile Ecaterina Teodoroiu, Ana Ipătescu, Depoului și Izvorului</t>
  </si>
  <si>
    <t xml:space="preserve">Reabilitare cămine de vane, racorduri și compensatoare pe str. Ady Endre, rețea primară de termoficare </t>
  </si>
  <si>
    <t>Extindere rețea termică și mini-punct termic la Școala Gimnazială nr.16 din Municipiul Oradea</t>
  </si>
  <si>
    <t>Alimentare cu energie termică a dezvoltării imobiliare de pe str. Alexandru Vlahuță, nr. 27, nr. cad. 204765</t>
  </si>
  <si>
    <t xml:space="preserve">Alimentarea cu energie termică a dezvoltărilor imobiliare situate pe str.Episcop Roman Ciorogariu la nr.32 și 55 </t>
  </si>
  <si>
    <t xml:space="preserve">Racord termic primar pentru imobilul situat in Oradea str. Mihail Kogalniceanu nr.44 </t>
  </si>
  <si>
    <t>Extindere rețea termică primară pe strada Garoafei și realizare racorduri termice</t>
  </si>
  <si>
    <t>Parc fotovoltaic pe amplasament strada Matei Corvin, Municipiul Oradea, jud.Bihor</t>
  </si>
  <si>
    <t xml:space="preserve">Extindere rețea termică primară și racorduri la consumatori pe str. Ep. Mihai Pavel și Piața Unirii </t>
  </si>
  <si>
    <t>Asigurarea separatoarelor de nămol, pentru protejarea armăturilor și pompelor de pe circuitul de termoficare (Actualizare DG+PT+Execuție)</t>
  </si>
  <si>
    <t xml:space="preserve">Sistem automat de protecție a alimentării turbinei cu gaz natural (PT) </t>
  </si>
  <si>
    <t>Alimentarea cu energie electrica a consumatorilor din secția chimică etapa veche și extindere chimic (6kV-trafo-bare 0,4kV-tablouri-cabluri spre motoare)  (PT)</t>
  </si>
  <si>
    <t>Reabilitare clădiri puncte termice (25 buc.) (DALI) + (PT + Execuție)</t>
  </si>
  <si>
    <t>Realizarea racordului termic primar și montarea unui mini-punct termic la Liceul Teologic Ortodox Episcop Roman Ciorogariu, str. Aluminei, nr. 88 (SF)</t>
  </si>
  <si>
    <t>Realizarea racordului termic primar și montarea unui mini-punct termic la Liceul Teoretic Lucian Blaga, Aleea Posada nr.1 (SF)</t>
  </si>
  <si>
    <t>Instalatii PT 824</t>
  </si>
  <si>
    <t xml:space="preserve">Instalații PT care alimentează imobilul situat în Oradea, Parcul Traian nr. 12A – 14 </t>
  </si>
  <si>
    <t xml:space="preserve">Instalații PT care alimentează imobilul situat în Oradea, A. Cazaban, nr. 47 </t>
  </si>
  <si>
    <t>Extindere rețea termică de transport pe str.Tudor Vladimirescu nr.85</t>
  </si>
  <si>
    <t>Modernizare echipamente si retele aferente PT 208</t>
  </si>
  <si>
    <t>Extindere retea termica de transport in Piata Cazarmii</t>
  </si>
  <si>
    <t>Parcare multietajata str. Academiei-Baritiu</t>
  </si>
  <si>
    <t>ZMO</t>
  </si>
  <si>
    <t>Drum expres Oradea-Arad</t>
  </si>
  <si>
    <t>Realizare rețelei de utilități publice în Parcul Industrial Eurobusiness IV Oradea</t>
  </si>
  <si>
    <t>Refacerea segmentului de drum strada Anghel Saligny - aducerea la cotă a terenului</t>
  </si>
  <si>
    <t>Refacerea canalizării pluviale de pe str. Anghel Saligny în vederea descărcării în tubul ANIF (l=420m)</t>
  </si>
  <si>
    <t>Optimizarea programului de aprindere/stingere al iluminatului public din Oradea</t>
  </si>
  <si>
    <t>ILUMINAT</t>
  </si>
  <si>
    <t>Modernizare SIP zona centrala str. 1 Decembrie - Independentei- E Gojdu (executie)</t>
  </si>
  <si>
    <t>Modernizare SIP Calea Clujului (executie)</t>
  </si>
  <si>
    <t xml:space="preserve">Cresterea eficientei energetice a SIP etapa 2 ( proiectare + executie) </t>
  </si>
  <si>
    <t>Cresterea eficientei energetice a SIP etapa 3 ( proiectare + executie)</t>
  </si>
  <si>
    <t>Proiectare lucrari electrice si de crestere a eficientei energetice a SIP Oradea</t>
  </si>
  <si>
    <t>Iluminarea LED a trecerilor de pietoni nesemaforizate etapa II (proiectare+executie)</t>
  </si>
  <si>
    <t>Iluminarea LED a trecerilor de pietoni nesemaforizate etapa III (proiectare+executie) bp</t>
  </si>
  <si>
    <t>PARCURI – SPAŢII VERZI - SALUBRITATE</t>
  </si>
  <si>
    <t>Amenajare parc in zona strazilor Grigore Moisil si Ion Irimescu</t>
  </si>
  <si>
    <t>Modernizare parc Petofi</t>
  </si>
  <si>
    <t>Modernizare parc 1 Decembrie (executie)</t>
  </si>
  <si>
    <t>Revitalizare si reactivare parc IC Bratianu (executie)</t>
  </si>
  <si>
    <t>Modernizare parc Libertatii si amenajari in Lunca Crisului (executie)</t>
  </si>
  <si>
    <t>Modernizare Parc 22 Decembrie (executie)</t>
  </si>
  <si>
    <t>Reactivarea si extinderea parcului din Santul Cetatii (executie)</t>
  </si>
  <si>
    <t>Reabilitare si modernizare baza sportiva existenta - zona str. Sovata, nr. 60 (execuție)</t>
  </si>
  <si>
    <t>Parc și parcare pe strada Romer Floris</t>
  </si>
  <si>
    <t>Amenajare locuri de joaca in cvartale de locuit - etapa I. Resistematizarea locurilor de joaca</t>
  </si>
  <si>
    <t>Modernizare parc Nicolae Balcescu</t>
  </si>
  <si>
    <t>Pavilion pentru pianină în Parcul Libertății (executie)</t>
  </si>
  <si>
    <t>Proiectare spații verzi</t>
  </si>
  <si>
    <t>Masterplan 2023-2033 - Patrimoniul arboricol al municipiului Oradea: plantari si taieri de arbori</t>
  </si>
  <si>
    <t>Masterplan 2026-2033 - Etapa II - Patrimoniul arboricol al municipiului Oradea</t>
  </si>
  <si>
    <t>Echipamente de joaca</t>
  </si>
  <si>
    <t xml:space="preserve">Achiziție mese de tenis de masă </t>
  </si>
  <si>
    <t>Adaposturi smart pentu biciclete</t>
  </si>
  <si>
    <t>Amenajare spatiu de recreere Ceyrat Prima Universitatii (executie) bp</t>
  </si>
  <si>
    <t>Regenerare urbana in cartier Europa, str.Gabor Jozsef – Gradina publica urbana (proiectare+executie)</t>
  </si>
  <si>
    <t>Extindere parc și amenajare plajă naturală în zona Silvaș bp</t>
  </si>
  <si>
    <t>Parcul - Spațiu muzical pentru copii (Parcul Libertății sau Parcul Barcăului) bp</t>
  </si>
  <si>
    <t>Reabilitare și modernizare parc copii - zona Rogerius - în spate la Gradinita nr. 3 (bp)</t>
  </si>
  <si>
    <t>Harta digitala copaci Oradea si sistem de radiografiere a copacilor (bp)</t>
  </si>
  <si>
    <t>Implementarea de rain gardens pe strada Onstilor si strazile derivate din aceasta care se inunda la ploile abundente Pitestilor Jimboliei Hategului etc sau alte zone inundabile din Oradea (bp)</t>
  </si>
  <si>
    <t>Parc de fitness urban - completare a spațiului de joacă existent în zona verde de pe str. Balogh Istvan cu diverse echipamente de calisthenics, mese de ping-pong și amenajarea unei piste de alergare (tartan) în jurul parcului. Antrenament în aer liber (bp)</t>
  </si>
  <si>
    <t>Ping-pong în parc. Mese pentru tenis de masă în zonele verzi din Cartierul Luceafărul (bp)</t>
  </si>
  <si>
    <t>Accesibilitate si functionalitate a paraului Peta (bp) ( veteranilor!!)</t>
  </si>
  <si>
    <t>Reabilitare si extindere parc de distracții blocurtile ANL Balogh Istvan Calea Aradului (bp)</t>
  </si>
  <si>
    <t>Achizitie de echipamente pentru fitness si parkour</t>
  </si>
  <si>
    <t>Achizitie suprafete de calcare pentru terenuri de sport si locuri de joaca</t>
  </si>
  <si>
    <t>Achizitie lucrari de amenajare țarcuri pentru câini</t>
  </si>
  <si>
    <t>Achizitie cișmele de băut apă</t>
  </si>
  <si>
    <t>Achizitie module panouri frontale pentru toalete cu autocuratare</t>
  </si>
  <si>
    <t>Lucrari de modificare panou frontal insule ecologice digitalizate</t>
  </si>
  <si>
    <t>Achizitie 2 toalete cu autospălare</t>
  </si>
  <si>
    <t>DRUMURI ,PODURI</t>
  </si>
  <si>
    <t>Modernizare str.Gabor Bethlen  (proiectare+executie)</t>
  </si>
  <si>
    <t>Modernizare str.Sofiei (proiectare+executie)</t>
  </si>
  <si>
    <t>Modernizare str.Gheorghe Doja -tronson zona intersectiei cu strada Livezilor - padure (proiectare+executie)</t>
  </si>
  <si>
    <t>Modernizare str.Arinului ,tronson Adevarului -Sofiei (proiectare+executie)</t>
  </si>
  <si>
    <t>Modernizare str. Radu Greceanu  (proiectare+executie)</t>
  </si>
  <si>
    <t>Drum de legatura intre str. Santaului si str. M. Corvin, Oradea (proiectare+executie)</t>
  </si>
  <si>
    <t>Amenajare accese auto si spatii de parcare in zona Piata Emanuil Gojdu-Calea Maresal Alexandru Averescu-Strada Raului-Calea Clujului din mun. Oradea, jud. Bihor (proiectare+executie)</t>
  </si>
  <si>
    <t>Modernizare str. Traian Goga -tronson intre zona modernizata si Sos Centura si artere laterale (proiectare+executie)</t>
  </si>
  <si>
    <t>Modernizare str. Bajor Andor (proiectare+executie)</t>
  </si>
  <si>
    <t>Reabilitare drum de legatura intre strada calea Clujului si strada Grivitei din municipiul Oradea, judetul Bihor (proiectare+executie)</t>
  </si>
  <si>
    <t>Modernizare str. J.J. Rousseau (proiectare+executie)</t>
  </si>
  <si>
    <t xml:space="preserve">Amenajare locuri de parcare si spatii verzi in zona strazii Thurzo Sandor , mun. Oradea, jud. Bihor (proiectare+executie)                     </t>
  </si>
  <si>
    <t xml:space="preserve">Modernizare str. Piatra Craiului (proiectare+executie) </t>
  </si>
  <si>
    <t>Modernizare str. Beldiceanu tronson nemodernizat  (proiectare+executie)</t>
  </si>
  <si>
    <t>Modernizare str. Cantonului (proiectare+executie)</t>
  </si>
  <si>
    <t>Modernizare str.Inului (executie lucrari)</t>
  </si>
  <si>
    <t>Modernizare str. Pelicanului  (executie lucrari)</t>
  </si>
  <si>
    <t>Modernizare str. Margelelor  (executie lucrari)</t>
  </si>
  <si>
    <t>Modernizare str. Pavilioanele CFR  (executie lucrari)</t>
  </si>
  <si>
    <t>Modernizare str. Atanasie Popa  strada 36 (executie lucrari)</t>
  </si>
  <si>
    <t>Modernizare str. Augustin  Maior - din str. Ion Mihalache Parc Industrial I-limita spre  Santion (executie lucrari)</t>
  </si>
  <si>
    <t>Modernizare str. Merilor (executie lucrari)</t>
  </si>
  <si>
    <t>Modernizare str. Armoniei (executie lucrari)</t>
  </si>
  <si>
    <t>Modernizare str. Floricelelor (proiectare+executie)</t>
  </si>
  <si>
    <t>Modernizare str. Caius Iacob (proiectare+executie)</t>
  </si>
  <si>
    <t>Modernizare str.Strugurilor (proiectare+executie)</t>
  </si>
  <si>
    <t xml:space="preserve">Modernizare str. Barbu Lautaru (proiectare+executie ) </t>
  </si>
  <si>
    <t>Modernizare str. Brandusei (proiectare+executie)</t>
  </si>
  <si>
    <t>Modernizare str. Romulus Guga (proiectare+executie)</t>
  </si>
  <si>
    <t>Modernizare str. Episcop Bomer Laszlo (proiectare+executie)</t>
  </si>
  <si>
    <t>Modernizare str.Plantelor - tronsoane nou create (proiectare+executie)</t>
  </si>
  <si>
    <t>Modernizare str. Violetelor (proiectare+executie)</t>
  </si>
  <si>
    <t>Modernizare str. Plugarilor (proiectare+executie)</t>
  </si>
  <si>
    <t>Asigurarea conectivității zonei  Băile Felix – Băile 1 Mai cu DN1, cartierele Nufărul și Velența, prin zona străzilor Iancu de Huneadoara – Războieni - Calea Clujului, municipiul Oradea, județul Bihor” (proiectare+executie)</t>
  </si>
  <si>
    <t>Largirea strazilor Armatei Romane, Universitatii, Ceyrat, Thurzo Sandor si Atelierelor (proiectare+executie)</t>
  </si>
  <si>
    <t>Construire drumuri colectoare in zona centurii mun. Oradea , str. Ogorului, tronson intre str. Nufarului si DC 54, din mun. Oradea, jud. Bihor tronson 1</t>
  </si>
  <si>
    <t>Construire drumuri colectoare in zona centurii mun. Oradea , str. Ogorului, tronson intre str. Nufarului si DC 54, din mun. Oradea, jud. Bihor, tronson 2</t>
  </si>
  <si>
    <t>Construire drumuri colectoare in zona centurii mun. Oradea , str. Ogorului, tronson intre str. Nufarului si DC 54, din mun. Oradea, jud. Bihor tronson 3</t>
  </si>
  <si>
    <t>Reabilitare pod Decebal peste râul Crisul Repede, municipiul Oradea, judetul Bihor (proiectare+executie)</t>
  </si>
  <si>
    <t>Modernizare str. Parcului (proiectare+executie)</t>
  </si>
  <si>
    <t>Amenajare intersectie strada Tudor Vladimirescu – strada Plevnei (proiectare+executie)</t>
  </si>
  <si>
    <t>Modernizare str. Ciucului (executie lucrari)</t>
  </si>
  <si>
    <t>Modernizare str. Harghitei (executie lucrari)</t>
  </si>
  <si>
    <t>Modernizare str. Afinelor (proiectare+executie)</t>
  </si>
  <si>
    <t>Modernizare str.Castanilor  (proiectare+executie)</t>
  </si>
  <si>
    <t>Modernizare str.Cedrilor  (proiectare+executie)</t>
  </si>
  <si>
    <t>Modernizare str.Malinului (din str Plantelor)  (proiectare+executie)</t>
  </si>
  <si>
    <t>Modernizare str.Plopilor  (proiectare+executie)</t>
  </si>
  <si>
    <t>Modernizare str. Primaverii (executie lucrari)</t>
  </si>
  <si>
    <t>Regenerare urbana Cartier Nufarul I - etapa 4  / zona 4 ,mun. Oradea, judetul Bihor (executie)</t>
  </si>
  <si>
    <t>Modernizare str.Chimiei (proiectare +executie)</t>
  </si>
  <si>
    <t>Modernizare str Fluierasului (proiectare+executie)</t>
  </si>
  <si>
    <t>Modernizare str Lebedei (proiectare+executie)</t>
  </si>
  <si>
    <t>Modernizare str Potarnichilor  (proiectare+executie)</t>
  </si>
  <si>
    <t>Modernizare str Sintezei (proiectare+executie)</t>
  </si>
  <si>
    <t>Modernizare str Sturzului (proiectare+executie)</t>
  </si>
  <si>
    <t>Modernizare str. Petru Maior (din str. Ogorului dreapta intre str. Ciheiului si Bvd Nufarul) (proiectare+executie)</t>
  </si>
  <si>
    <t>Modernizare str.Livezilor (proiectare+executie)</t>
  </si>
  <si>
    <t xml:space="preserve">Modernizare str. Culegatorilor (proiectare+executie) </t>
  </si>
  <si>
    <t>Modernizare str. Aurel Ciupe (proiectare+executie)</t>
  </si>
  <si>
    <t>Modernizare str. Murelor (executie lucrari)</t>
  </si>
  <si>
    <t>Modernizare str. Paleului (proiectare+executie)</t>
  </si>
  <si>
    <t>Modernizare str. Piscului (proiectare+executie)</t>
  </si>
  <si>
    <t>Modernizare str. Prunilor (proiectare+executie)</t>
  </si>
  <si>
    <t>Modernizare str. Raspintiilor (proiectare+executie)</t>
  </si>
  <si>
    <t>Modernizare str. Atacului  (executie lucrari)</t>
  </si>
  <si>
    <t>Modernizare str.Plaiului  (proiectare+executie)</t>
  </si>
  <si>
    <t>Modernizare str. Rozelor (proiectare+executie)</t>
  </si>
  <si>
    <t>Modernizare str. K.Nagy Sandor (tronson)  (proiectare+executie)</t>
  </si>
  <si>
    <t>Modernizare str. Plugului (executie lucrari)</t>
  </si>
  <si>
    <t>Modernizare str. Torentului (executie lucrari)</t>
  </si>
  <si>
    <t>Modernizare str. Emil Garleanu (executie lucrari)</t>
  </si>
  <si>
    <t>Modernizare str. Padurii (proiectare+executie)</t>
  </si>
  <si>
    <t>Modernizare str. Vantului (continuare la str. Piersicilor) (proiectare+executie)</t>
  </si>
  <si>
    <t>Modernizare str. Visinilor (executie lucrari)</t>
  </si>
  <si>
    <t xml:space="preserve">Modernizare str. Mugurilor (Executie) </t>
  </si>
  <si>
    <t>Modernizare str. Nichita Stanescu (executie lucrari) (in teren este denumita strada Vulturilor si Licuricilor)</t>
  </si>
  <si>
    <t>Modernizare str.Micsandrelor (executie lucrari)</t>
  </si>
  <si>
    <t>Modernizare str. Vicar Hosszu Laszlo (proiectare+executie lucrari)</t>
  </si>
  <si>
    <t xml:space="preserve">Modernizare str. Alunei (proiectare+executie) </t>
  </si>
  <si>
    <t>Modernizare str. Gorunului (proiectare+executie)</t>
  </si>
  <si>
    <t>Modernizare str. Nistrului  (proiectare+executie)</t>
  </si>
  <si>
    <t>Modernizare str. Paltinului (proiectare+executie)</t>
  </si>
  <si>
    <t>Modernizare str. Emil Isac (proiectare+executie)</t>
  </si>
  <si>
    <t>Modernizare str. Fagetului  (proiectare+executie)</t>
  </si>
  <si>
    <t>Modernizare str. Sudului (proiectare+executie)</t>
  </si>
  <si>
    <t>Modernizare str. Alecu Russo (proiectare+executie)</t>
  </si>
  <si>
    <t>Modernizare str. Soarelui (tronson) (proiectare+executie)</t>
  </si>
  <si>
    <t>Modernizare str. Vasile Lucaciu (tronson)  (proiectare+executie)</t>
  </si>
  <si>
    <t>Modernizare str. Viitorului  (proiectare+executie)</t>
  </si>
  <si>
    <t>Modernizare str.Colinelor (tronson)  (proiectare+executie)</t>
  </si>
  <si>
    <t>Modernizare str. Iederei (proiectare+executie)</t>
  </si>
  <si>
    <t>Modernizare str. Calistrat Hogas (proiectare+executie)</t>
  </si>
  <si>
    <t>Modernizare str.Capsunilor  (proiectare+executie)</t>
  </si>
  <si>
    <t>Modernizare str.Popasului  (proiectare+executie)</t>
  </si>
  <si>
    <t>Modernizare str.Alexandru Macedonski  (proiectare+executie)</t>
  </si>
  <si>
    <t>Modernizare str. Trotusului (tronson)  (proiectare+executie)</t>
  </si>
  <si>
    <t>Modernizare str. Academician David Prodan (proiectare+executie)</t>
  </si>
  <si>
    <t xml:space="preserve">Construire pasaj pietonal și pentru cicliști traversare cale ferată zona străzii Teodor Neș și întubare pârâul Sălbatic din municipiul Oradea (proiectare+executie) tronson </t>
  </si>
  <si>
    <t>Modernizare str. Campului (tronson) (proiectare+executie)</t>
  </si>
  <si>
    <t>Modernizare str.Cramei  (proiectare+executie)</t>
  </si>
  <si>
    <t>Modernizare str.Zorilor  (proiectare+executie)</t>
  </si>
  <si>
    <t>ZONA DEALURI</t>
  </si>
  <si>
    <t>Modernizare str.Arhimede (din str. Raspantiilor)  (proiectare+executie)</t>
  </si>
  <si>
    <t>Modernizare str.Meteorilor -tronson  (proiectare+executie)</t>
  </si>
  <si>
    <t>Modernizare str.Nicolae N. Cocea -drum spre observator (proiectare+executie)</t>
  </si>
  <si>
    <t>Modernizare str.Pasului (proiectare+executie)</t>
  </si>
  <si>
    <t>Modernizare str.Jiului (proiectare+executie)</t>
  </si>
  <si>
    <t>Modernizare str.Valentin Silvestru (proiectare+executie)</t>
  </si>
  <si>
    <t>Modernizare str.Valcelelor (proiectare+executie)</t>
  </si>
  <si>
    <t>Modernizare str.Kabos Endre (proiectare+executie)</t>
  </si>
  <si>
    <t>Modernizare str.Podgoria -tronson 2000 m (proiectare+executie)</t>
  </si>
  <si>
    <t>NUFARUL CANTEMIR</t>
  </si>
  <si>
    <t>Modernizare str.Nicolae Chidiosan (proiectare+executie)</t>
  </si>
  <si>
    <t>Modernizare str.Ioan Corneli (proiectare+executie)</t>
  </si>
  <si>
    <t>Modernizare str.Ciheiului -cartier Veterani (proiectare+executie)</t>
  </si>
  <si>
    <t>GRIGORESCU</t>
  </si>
  <si>
    <t>Modernizare str.Antim Ivireanul (din Apateului) (proiectare+executie)</t>
  </si>
  <si>
    <t>Modernizare str.Ovidiu Cotrus (din str.Petru Maior) (proiectare+executie)</t>
  </si>
  <si>
    <t>Modernizare str.Profesor Marin Dacian Bica (proiectare+executie)</t>
  </si>
  <si>
    <t>Modernizare str.Eva Heyman (proiectare+executie)</t>
  </si>
  <si>
    <t>Modernizare str.Constantin Brailoiu (proiectare+executie)</t>
  </si>
  <si>
    <t>Modernizare str.Sztarill Ferenc (proiectare+executie)</t>
  </si>
  <si>
    <t>Modernizare str.Adrian Victor Puscasiu (proiectare+executie)</t>
  </si>
  <si>
    <t>Modernizare str.Aristide Demetriade (proiectare+executie)</t>
  </si>
  <si>
    <t>Modernizare str.Romulus Vulpescu (proiectare+executie)</t>
  </si>
  <si>
    <t>Modernizare str.Ion Agarbiceanu (proiectare+executie)</t>
  </si>
  <si>
    <t>Modernizare str.Janos Bolyai (proiectare+executie)</t>
  </si>
  <si>
    <t>Modernizare str.Adrian Marino (din H.H.Gyula spre padure)</t>
  </si>
  <si>
    <t>Modernizare str.Albert Einstein (din H.H.Gyula spre padure) (proiectare+executie)</t>
  </si>
  <si>
    <t>Modernizare str.Ion Popescu Voitesti (din H.H. Gyula spre padure) (proiectare+executie)</t>
  </si>
  <si>
    <t>Amenajarea pasajului subteran pietonal si al coridorului de trecere dintre cartierele Rogerius si Oncea (proiectare+executie)</t>
  </si>
  <si>
    <t>Modernizare str. Pietrisului (proiectare+executie)</t>
  </si>
  <si>
    <t>Modernizare str. Prundului (proiectare+executie)</t>
  </si>
  <si>
    <t>Modernizare str. Lascar Catargiu (proiectare+executie)</t>
  </si>
  <si>
    <t>Modernizare str. Stancii (proiectare+executie)</t>
  </si>
  <si>
    <t>Modernizare str. Dimitrie Bolintineanu (proiectare+executie)</t>
  </si>
  <si>
    <t>Modernizare str. Fekete Iosif (proiectare+executie)</t>
  </si>
  <si>
    <t>Modernizare str. Titus Livius Rosca (proiectare + executie)</t>
  </si>
  <si>
    <t>Modernizare str. Scarisoarei (proiectare+executie)</t>
  </si>
  <si>
    <t>Modernizare str. Antonio Vivaldi (proiectare+executie)</t>
  </si>
  <si>
    <t>Modernizare str. Vasile Goldis (proiectare+executie)</t>
  </si>
  <si>
    <t>Modernizare str. Morii -tronson (proiectare+executie)</t>
  </si>
  <si>
    <t xml:space="preserve"> Modernizare str. Mercur (proiectare+executie) </t>
  </si>
  <si>
    <t>Modernizare str. Venus (proiectare+executie)</t>
  </si>
  <si>
    <t>Modernizare str. Terra (proiectare+executie)</t>
  </si>
  <si>
    <t>Modernizare str. Marte (proiectare+executie)</t>
  </si>
  <si>
    <t>Modernizare str. Jupiter (proiectare+executie)</t>
  </si>
  <si>
    <t>Modernizare str. Saturn (proiectare+executie)</t>
  </si>
  <si>
    <t>Modernizare str. Uranus (proiectare+executie)</t>
  </si>
  <si>
    <t>Modernizare str. Neptun (proiectare+executie)</t>
  </si>
  <si>
    <t>Modernizare str. Pluto (proiectare+executie)</t>
  </si>
  <si>
    <t>Modernizare str. Andromeda (proiectare+executie)</t>
  </si>
  <si>
    <t>Modernizare str. Ursa Mica (proiectare+executie)</t>
  </si>
  <si>
    <t>Modernizare str. Ursa Mare (proiectare+executie)</t>
  </si>
  <si>
    <t>Modernizare str. Calea Lactee (proiectare+executie)</t>
  </si>
  <si>
    <t>Modernizare str. Dimitrie Onciul (proiectare+executie)</t>
  </si>
  <si>
    <t>Modernizare str. Iosif Silviu Fogarasi (proiectare+executie)</t>
  </si>
  <si>
    <t>Modernizare str. Kelemen Lajos (proiectare+executie)</t>
  </si>
  <si>
    <t>Modernizare str. Mihail Anton Samoila (proiectare+executie)</t>
  </si>
  <si>
    <t>Amenajare pista de biciclete pasaj cartierul Grigorescu pana la pista existenta pe str. Sextil Puscariu, in mun. Oradea, judetul Bihor (proiectare+executie)</t>
  </si>
  <si>
    <t>Proiectare - pentru construire, modernizare, reabilitare, amenajari,  reparatii strazi, amenajare spatii de parcare, poduri, lucrari pentru siguranţa circulatiei inclusiv utilitatile aferente, trafic rutier, spatii verzi, amenajarei spatii verzi,devieri/relocari  de retele si alte lucrari necesare a se realiza in municipiul Oradea , inclusiv asistenta tehnica din partea proiectantului</t>
  </si>
  <si>
    <r>
      <rPr>
        <b/>
        <sz val="10"/>
        <rFont val="Arial"/>
        <family val="2"/>
      </rPr>
      <t>Verificarea</t>
    </r>
    <r>
      <rPr>
        <sz val="10"/>
        <rFont val="Arial"/>
        <family val="2"/>
      </rPr>
      <t xml:space="preserve"> doc. teh.- economice pentru lucrări de construire, modernizare, reabilitare străzi, amenajare căi de acces rutier, amenajare spații de parcare, amenajare parcuri, construire, reabilitare pasaje, poduri, pasarele, lucrări pentru siguranţa circulaţiei, inclusiv utilitățile aferente acolo unde este cazul şi trafic rutier necesare a se realiza în municipiul Oradea</t>
    </r>
  </si>
  <si>
    <t>Asistenta tehnica - dirigentie de santier pentru obiectivele de investitii ale Primariei municipiului Oradea derulate prin Directia Tehnica,respectiv, strazi, poduri, pasaje, lucrari pentru siguranta circulatiei, retele de utilitati inclusuv devieri, relocari, protejari de retele, spatii verzi, trotuare, alei pietonale, piste de biciclete, alte tipuri de lucrari</t>
  </si>
  <si>
    <t>Servicii de coordonare in materie de sanatate si securitatea muncii pe durata realizarii lucrarilor pentru obiectivele de investitii deulate prin Directia Tehnica a mun. Oradea</t>
  </si>
  <si>
    <t xml:space="preserve">Elaborare expertize geotehnice pentru strazile din mun. Oradea (conform cerintelor din CU) </t>
  </si>
  <si>
    <t>Racordarea/ bransarea la retelele de utilitati publice a obiectivelor de investitii(cand este cazul) (proiectare+executie)</t>
  </si>
  <si>
    <t>Relocare/protejare retele electrice pentru eliberarea amplasamentului in vederea realizarii obiectivelor de investitii</t>
  </si>
  <si>
    <t>Amplasare radare de viteza, fixe- bvd. Nufarul, Cantemir, Stefan cel Mare, Dacia</t>
  </si>
  <si>
    <t>Perdea de apa si lumini pod Ferdinand</t>
  </si>
  <si>
    <t>ALTE  OBIECTIVE</t>
  </si>
  <si>
    <t>Achizitie  licente software</t>
  </si>
  <si>
    <t>Reabilitarea Grădiniței nr. 34, Oradea</t>
  </si>
  <si>
    <t>Extindere Școală Gimnazială Szacsvay Imre - construcție nouă</t>
  </si>
  <si>
    <t>Construire sala de sport scolara la Scoala Gimnaziala nr.16(tribuna 102 locuri)</t>
  </si>
  <si>
    <t>Sala de sport scolara (tribuna de 102 locuri) la Școala Gimnazială Avram Iancu</t>
  </si>
  <si>
    <t>Sală de educație fizică școlară la Școala Gimnazială "Szacsvay Imre" de pe str. Matei Corvin nr. 106 A</t>
  </si>
  <si>
    <t xml:space="preserve">Scoala Gimnaziala Dacia - Lucrari in vederea obtinerii autorizatiei ISU (PT+exec) </t>
  </si>
  <si>
    <t>Cresterea Eficientei Energetice si Gestionarea Inteligenta a Energiei a Scolii Gimnaziale Oltea Doamna, Oradea</t>
  </si>
  <si>
    <t xml:space="preserve">Liceul Teologic Ortodox Episcop Roman Ciorogariu, str. Aluminei nr.88 - Lucrări în vederea obținerii autorizației ISU (PT+exec) </t>
  </si>
  <si>
    <t>Refacere retele interioare: apa rece, canalizare menajera si canalizare pluviala in curtea Colegiului Tehnic Mihai Viteazul (PT+executie)</t>
  </si>
  <si>
    <t>Colegiul Tehnic Traian Vuia - executie lucrari in vederea obtinerii autorizatiei ISU</t>
  </si>
  <si>
    <t>Construire Gard la Colegiul Tehnic Traian Vuia situat pe str. Constantin Brâncoveanu, nr. 12/A</t>
  </si>
  <si>
    <t>Creșterea eficienței energetice a Colegiului Național Mihai Eminescu, str. Stanisoarei</t>
  </si>
  <si>
    <t xml:space="preserve">Amenajare locuri de joacă,spatii verzi și dotare cu echipamente de joaca </t>
  </si>
  <si>
    <t>Achizitie masini de gatit si spalat vase</t>
  </si>
  <si>
    <t>Achiziție mese de ping-pong</t>
  </si>
  <si>
    <t>Bazin de inot didactic, str. Alexandru Cazaban nr.47A, municipiul Oradea, judetul Bihor</t>
  </si>
  <si>
    <t>Construire sala de sport cu tribuna de 180 locuri, str Academiei nr.19</t>
  </si>
  <si>
    <t>Lucrari de interes public local pentru constructii cu caracter educativ si sportiv si infrastructura aferenta acestora-Construire complex sportiv -Obiectivul 1</t>
  </si>
  <si>
    <t>Execuție foraj apa Stadion Iuliu Bodola și deznisipare/decolmatare puț existent</t>
  </si>
  <si>
    <t>Rk Bazin Olimpic (DALI+PT+exec)</t>
  </si>
  <si>
    <t>Lucrari in vederea asigurarii sporului de putere la Bazinul Olimpic ,,Ioan Alexandrescu'', Aleea Strandului, Oradea</t>
  </si>
  <si>
    <t>Modernizare pistă de alergare, teren și reamenajare tribune la Liceul cu Program Sportiv Oradea, aferentă stadionului</t>
  </si>
  <si>
    <t>Relocare cladiri LPS Bihorul</t>
  </si>
  <si>
    <t>Modificat acces camera tehnica bazine exterioare</t>
  </si>
  <si>
    <t>Hidroizolare camere compensare bazine exterioare</t>
  </si>
  <si>
    <t xml:space="preserve">Achizitie si montaj comanda sistem bule bazin sarituri </t>
  </si>
  <si>
    <t>Achizitie si montaj clorinatoare dozatoare de pastile bazine exterioare</t>
  </si>
  <si>
    <t>Inlocuire robineți fluture, material filtrant, tablou electric si achiziție pompa transfer clor și pompă portabilă cu filtru de nisip  Bazin Olimpic</t>
  </si>
  <si>
    <t>Inlocuire sistem climatizare la Oraselul Copiilor</t>
  </si>
  <si>
    <t>Palatul Stern-Str.Republicii nr.10/A</t>
  </si>
  <si>
    <t>Reabilitare fatade si invelitoare la imobilul situat in Oradea str. Patriotilor nr. 4,6 – Palatul Adorjan I si Palatul Adorjan II</t>
  </si>
  <si>
    <t>Construire pavilion de detenție</t>
  </si>
  <si>
    <t>Desfiintare cladire existenta,construire cladire administrativa , hala depozitare si amenajare incinta pe str. Ion Mihalache nr. 41,  (pentru asigurarea funcționării D.R.V. Cluj si D.R.A.F. 6 Oradea)</t>
  </si>
  <si>
    <t>Amenajare parcare supraetajata pe strada Iosif Vulcan nr. 10-12</t>
  </si>
  <si>
    <t>Construire parcare publică supraetajată cu spații comerciale la parter, str. Gen. Nicolae Șova</t>
  </si>
  <si>
    <t>Construire parcare publică subterană și amenajare parc în zona străzii Onisifor Ghibu</t>
  </si>
  <si>
    <t>Desființare parțială gard existent, construire împrejmuire nouă și creare acces pe str. Louis Pasteur nr. 26</t>
  </si>
  <si>
    <t>Achizitii  terenuri si imobile</t>
  </si>
  <si>
    <t>Exproprieri</t>
  </si>
  <si>
    <t>Interventie de urgenta la Palatul Ullmann (PT+exec)</t>
  </si>
  <si>
    <t>Racordarea la SACET a apartamentelor situate în Palatul Ullman</t>
  </si>
  <si>
    <t>Relocarea FDCP – urilor și refacerea coloanelor de distribuție a energiei electrice la Palatul Ullman</t>
  </si>
  <si>
    <t>Reabilitare imobil str. Avram Iancu 20 (taxa de reabilitare)</t>
  </si>
  <si>
    <t>Reabilitare faţade și învelitoare la imobilul situat în Oradea , str. Iosif Vulcan nr. 3</t>
  </si>
  <si>
    <t>Reabilitare faţade și învelitoare la imobilul str. Iosif Vulcan nr.14</t>
  </si>
  <si>
    <t>Reabilitare fatade si invelitoare imobil situat pe str. Iosif Vulcan nr. 8</t>
  </si>
  <si>
    <t>Reabilitare fatade si invelitoare imobil situat pe str. Iosif Vulcan nr.10</t>
  </si>
  <si>
    <t>Reabilitare fatade si invelitoare imobil situat pe Str. Libertatii nr.2 -  4 (Casa Levay)</t>
  </si>
  <si>
    <t>Reabilitare fatade imobil situat pe Str. Republicii nr. 3 (Mercur) - PT</t>
  </si>
  <si>
    <t>Reabilitare  fatade exterioare si reparatii invelitoare imobil situat in Oradea str. Aurel Lazar nr.19 -21</t>
  </si>
  <si>
    <t>Reabilitare imobile centrul istoric Aurel Lazar nr.3</t>
  </si>
  <si>
    <t>Reabilitare imobile centrul istoric Piata Unirii nr.7</t>
  </si>
  <si>
    <t>Reabilitare fatade si invelitoare imobil situat în Piața 1 Decembrie 1918 nr. 12</t>
  </si>
  <si>
    <t>Reabilitare fatade si invelitoare imobil situat pe Aleea E. Gojdu nr. 2</t>
  </si>
  <si>
    <t>Reabilitare fatade si invelitoare imobil situat pe str. Madach Imre nr. 1-5</t>
  </si>
  <si>
    <t>Reabilitare fatade si invelitoare imobil situat pe str. Cele Trei Crișuri nr 2 (taxă de reabilitare)</t>
  </si>
  <si>
    <t>Reabilitare fatade si invelitoare imobil situat pe str. Ady Endre nr. 3 (taxă reabilitare)</t>
  </si>
  <si>
    <t>Reabilitare fatade si invelitoare imobil situat pe str. Mihail Kogalniceanu nr. 46</t>
  </si>
  <si>
    <t>Modernizare sistem unic de supraveghere a domeniului public din Municipiul Oradea - Studii de coexistenta si obtinere avize ,racorduri electrice</t>
  </si>
  <si>
    <t xml:space="preserve">Cladiri multifunctionale in zona strazii Parcul Traian nr. 14 </t>
  </si>
  <si>
    <t xml:space="preserve">Verificare tehnica de calitate documentatii </t>
  </si>
  <si>
    <t>Achizitie servicii de intocmire documentatii si obtinere avize ISU pentru imobile DPI</t>
  </si>
  <si>
    <t>Achizitie servicii dirigintie de santier (instalatii, monumente, etc)</t>
  </si>
  <si>
    <t xml:space="preserve">Achizitie servicii SSM proiecte noi si in derulare DPI </t>
  </si>
  <si>
    <t>Achizitie servicii studii geotehnice</t>
  </si>
  <si>
    <t xml:space="preserve">Achizitie servicii expertize tehnice </t>
  </si>
  <si>
    <t>Achizitie servicii descarcare arheologica</t>
  </si>
  <si>
    <t>Desființări parțiale clădiri și refacere fațade, acoperișuri, alte elemente constructive</t>
  </si>
  <si>
    <t>Servicii de proiectare, elaborare documentații tehnice necesare în vederea obținerii de autorizații de desființare construcții și asistență tehnica din partea proiectantului</t>
  </si>
  <si>
    <t>Proiectare si executie infrastructura metalica pentru instalare camere video - citire numere de inmatriculare</t>
  </si>
  <si>
    <t>Reabilitare  fațade exterioare și reparații învelitoare imobil situat în Oradea str. Dunărea nr. 12</t>
  </si>
  <si>
    <t>Bransament de gaz str Primariei nr.34</t>
  </si>
  <si>
    <t>Reabilitare și amenajare spații situate în Parcul I. C. Brătianu din Oradea</t>
  </si>
  <si>
    <t>Amenajament silvic al fondului forestier proprietate publică a Municipiului Oradea, județul Bihor – U.P. I Municipiul Oradea</t>
  </si>
  <si>
    <t>Proiectare și execuție instalație de utilizare gaze naturale la obiectivul Asociația Smiles, str. Vămii nr. 34 A</t>
  </si>
  <si>
    <t>Upgrade sisteme de control si acces parcari si centru de control trafic parcari</t>
  </si>
  <si>
    <t>Achiziție de 6 validatoare de bancnote cu casetă capacitate 1000 bancnote cu 2 încuietori (piese de schimb), necesare pentru parcometrele din parcările cu plată administrate de Serviciul Gestionare Parcari/DPI</t>
  </si>
  <si>
    <t>Adaptare și interconectare platformă de parcări de domiciliu cu platforme existente</t>
  </si>
  <si>
    <t>Dezvoltare hartă pentru parcări de domiciliu</t>
  </si>
  <si>
    <t>Constructia unei parcari aferente Spitalului Clinic Judetean</t>
  </si>
  <si>
    <t>Achiziție platformă pentru persoane cu dizabilități la Liceul Lucian Blaga, Oradea</t>
  </si>
  <si>
    <t>Racord termic Liceul de Arte, Menumorut 33B</t>
  </si>
  <si>
    <t>Achiziție robot de aspirare pentru bazin – Dolphin Wave 300XL</t>
  </si>
  <si>
    <t>Amplasare 4 buc. tarcuri metalice cu grilaj pentru pubele de deșeuri cu colectare selectivă – Cetatea Oradea</t>
  </si>
  <si>
    <t>Reabilitare acoperis la Oraselul Copiilor</t>
  </si>
  <si>
    <t>Mașină de desfundat conducte de canalizare</t>
  </si>
  <si>
    <t>Reparații hidroizolație la acoperișul tip terasa la Pasajul Vulturul Negru</t>
  </si>
  <si>
    <t>Demolare cladiri parazitare si reconversia corpului C1(etapa 1) din cadrul Spitalului Clinic Judetean de Urgenta Oradea, Stationar VI Oradea, str. Republicii nr. 37 in vederea crearii unui acces carosabil spre str. Republicii</t>
  </si>
  <si>
    <t>Dezvoltare Centru de Control Trafic Parcari Etajate (Dispecerat Comun)</t>
  </si>
  <si>
    <t>Servere cloud parcari</t>
  </si>
  <si>
    <t>Servere de e-mail pentru notificari pe e-mail a utilizatorilor serviciilor/platformelor de parcari</t>
  </si>
  <si>
    <t>Sistem Forti (parcari si sediu parcari)</t>
  </si>
  <si>
    <t>Sistem camere pe masina de control parcari stradale si de domiciliu</t>
  </si>
  <si>
    <t>Sistem de deschidere automata bariere parcari etajate in cazul intreruperii curentului electric sau a internetului</t>
  </si>
  <si>
    <t>Licente pentru sisteme, baze de date si aplicatii parcari</t>
  </si>
  <si>
    <t>Sistem de control acces toatele parcari etajate integrate in centrul de control trafic</t>
  </si>
  <si>
    <t>Senzori de identificare loc de parcare -parcari etajate</t>
  </si>
  <si>
    <t>Senzori de identificare loc liber/ocupat parcari stradale</t>
  </si>
  <si>
    <t>Camere LPR parcari</t>
  </si>
  <si>
    <t>Camere de supraveghere parcari etajate</t>
  </si>
  <si>
    <t>Cablaj structurat sisteme de control so acces parcari</t>
  </si>
  <si>
    <t>Signalistica parcari etajate</t>
  </si>
  <si>
    <t>Limitatoare de viteza si Stalpi de siguranta si ghidaj</t>
  </si>
  <si>
    <t>Pompa - Parcari Independentei si Municipal</t>
  </si>
  <si>
    <t>Banere casetate parcari etajate</t>
  </si>
  <si>
    <t>Panou exterior pentru control trafic</t>
  </si>
  <si>
    <t>Sistem integrat pe plata cu cardul la terminale de iesire parcari etajate</t>
  </si>
  <si>
    <t>Parcometre</t>
  </si>
  <si>
    <t>Telefoane control</t>
  </si>
  <si>
    <t>Tablete (domiciliu, evidenta parcometre si dispecerat)</t>
  </si>
  <si>
    <t>Imprimante termice control</t>
  </si>
  <si>
    <t>Dezvoltare baza de date centralizata parcari</t>
  </si>
  <si>
    <t>Integrare baze de date de riverani s handicap in baza de date centralizata parcari</t>
  </si>
  <si>
    <t>Upgrade platforma parcari de domiciliu</t>
  </si>
  <si>
    <t>Actualizare aplicatie Parking Oradea</t>
  </si>
  <si>
    <t xml:space="preserve">Achizitionare platforma WEB sistem de parcari </t>
  </si>
  <si>
    <t>Interconectari/ integrari platforme de parcari</t>
  </si>
  <si>
    <t xml:space="preserve">Harta GIS parcari stradale </t>
  </si>
  <si>
    <t>Achizitionare aplicatie de control parcari</t>
  </si>
  <si>
    <t>Achizitonare servicii de procesare plati online</t>
  </si>
  <si>
    <t>Achizitionare servicii de transmitere SMS</t>
  </si>
  <si>
    <t>Achizitionare sistem de ticketing servicii DPI (locuinte, terenuri, Sali de evenimente)</t>
  </si>
  <si>
    <t>Upgrade servere sistem de  supraveghere al UAT Municipiul Oradea</t>
  </si>
  <si>
    <t xml:space="preserve">XIV </t>
  </si>
  <si>
    <t>Creșterea eficienței energetice a cladirii Primariei Municipiului Oradea, Piata Unirii nr. 1, Oradea</t>
  </si>
  <si>
    <t>Cresterea eficientei energetice a Gradinitei cu Program Prelungit  nr.5 (Waldorf)  str. Calimanesti nr.10</t>
  </si>
  <si>
    <t>Creșterea eficienței energetice la Grădinița nr. 41</t>
  </si>
  <si>
    <t>Creșterea eficienței energetice și gestionarea inteligentă a energiei la Gradinița cu program prelungit, nr. 42</t>
  </si>
  <si>
    <t>Creșterea eficienței energetice la Gradinița nr. 45 și Creșa nr. 6 – Căsuța veseliei situate în Oradea, str. Aluminei nr. 100</t>
  </si>
  <si>
    <t>Cresterea Eficientei Energetice La Gradinita Nr.52 și Cresa Nr.3 - Taramul Fermecat, situate in Municipiul Oradea, str. Calugareni, Nr. 8/A</t>
  </si>
  <si>
    <t>Cresterea Eficientei Energetice La Gradinita  cu program prelungit nr.55 si Cresa nr.5- Voinicel</t>
  </si>
  <si>
    <t>Creșterea eficienței energetice a Gradinitei nr. 14</t>
  </si>
  <si>
    <t>Creșterea eficienței energetice a Grădiniței cu Program Prelungit nr. 46, str. Feldioarei nr.17</t>
  </si>
  <si>
    <t>Gradinita cu program prelungit nr 54</t>
  </si>
  <si>
    <t>Reabilitarea Grădiniței nr. 27, Oradea</t>
  </si>
  <si>
    <t>Reabilitarea Gradinitei cu Program Prelungit Nr. 50</t>
  </si>
  <si>
    <t>Extindere Creșei și Grădiniței nr. 28 , cu echiparea infrastructurii educaționale pentru educația timpurie antepreșcolară și preșcolară  în Municipiul Oradea</t>
  </si>
  <si>
    <t>Creșterea Eficienței Energetice si Gestionarea Inteligentă a Energiei la Școala Gimnazială „Nicolae Bălcescu” din Municipiul Oradea</t>
  </si>
  <si>
    <t>Creșterea eficienței energetice si gestionarea inteligentă a energiei la Școala Gimnazială „Octavian Goga”, Municipiul Oradea</t>
  </si>
  <si>
    <t>Reabilitare și eficientizare energetică imobil Scoala Gimnaziala „Lucretia Suciu”</t>
  </si>
  <si>
    <t>Reabilitare si eficientizare energetica Școala Gimnazială nr. 16</t>
  </si>
  <si>
    <t>Creșterea eficienței energetice a Scolii Gimnaziale „Dimitrie Cantemir”, str Sextil Puscariu, Oradea</t>
  </si>
  <si>
    <t>Creșterea eficienței energetice a Scolii Gimnaziale  „Dimitrie Cantemir”, str Dimitre Cantemir, Oradea</t>
  </si>
  <si>
    <t>Creșterea eficienței energetice a Școlii Gimnaziale „Ion Bogdan” si a Gradinitei nr. 14</t>
  </si>
  <si>
    <t>Creșterea eficienței energetice a Școlii Gimnaziale „Ioan Slavici”, Calea Clujului nr. 193</t>
  </si>
  <si>
    <t>Reabilitarea Scolii Gimnaziale Juhasz Gyula</t>
  </si>
  <si>
    <t>Cresterea eficientei energetice a cladirilor existente la  Liceul Teoretic Onisifor Ghibu din Municipiul Oradea</t>
  </si>
  <si>
    <t>Creșterea eficienței energetice si gestionarea inteligentă a energiei la Liceul „Lucian Blaga”, Municipiul Oradea</t>
  </si>
  <si>
    <t>Cresterea Eficientei Energetice si Gestionarea Inteligenta a Energiei a Liceului Teoretic "Aurel Lazăr", Str. Avram Iancu Nr. 10</t>
  </si>
  <si>
    <t>Creșterea eficienței energetice si gestionarea inteligentă a energiei la Liceul „Iosif Vulcan”-Strada Jean Calvin nr.3, Municipiul Oradea</t>
  </si>
  <si>
    <t>Creșterea eficienței energetice si gestionarea inteligentă a energiei la Liceul „Iosif Vulcan”-Bld. Decebal nr.76, Municipiul Oradea</t>
  </si>
  <si>
    <t>Cresterea eficientei energetic si gestionarea inteligenta a energiei in cladirile publice cu destinatie de unitati de invatamant - Liceul Teoretic German „Friedrich Schiller”</t>
  </si>
  <si>
    <t>Cresterea eficientei energetice si gestionarea Inteligenta a energiei in cladirile publice cu destinatie de unitati de invatamant – Liceul Teoretic German F. Schiller</t>
  </si>
  <si>
    <t>Cresterea eficientei energetice a Liceului Sanitar „Vasile Voiculescu" Calea Maresal Alexandru Averescu nr.53</t>
  </si>
  <si>
    <t>Creșterea eficienței energetice a Colegiului Național „Emanuil Gojdu”, str. Spiru Haret nr. 3-5, Oradea</t>
  </si>
  <si>
    <t>Creșterea eficienței energetice a Liceului Tehnologic „Constantin Brâncuși”, str. Alexandru Cazaban nr. 48</t>
  </si>
  <si>
    <t>Creșterea eficienței energetice a Liceului de Arte, str. Menumorut nr. 33</t>
  </si>
  <si>
    <t>Creșterea eficienței energetice a Liceului de Arte, str. Menumorut nr. 33B</t>
  </si>
  <si>
    <t>Reabilitarea Liceului de Arte din Oradea Parcul Petofi Sandor</t>
  </si>
  <si>
    <t xml:space="preserve">Reabilitarea CN M Eminescu - cresterea eficientei energetice, amenajari exterioare si dotari imobilier a corpurilor A,B si C </t>
  </si>
  <si>
    <t>Reabilitarea corpurilor C2 (Sala de sport), C4, C5 (Camine), C6 (Cantina), C7 (Sali de clasa), C13, C15 (Birouri) la Colegiul Tehnic Mihai Viteazul</t>
  </si>
  <si>
    <t xml:space="preserve"> Construire cresa  str Aluminei nr. 100A, municipiul Oradea </t>
  </si>
  <si>
    <t>Reabilitarea Creșei nr. 9 și 12, Oradea</t>
  </si>
  <si>
    <t>Dotarea unitatilor de invatamant preuniversitar din Municipiul Oradea</t>
  </si>
  <si>
    <t>Extindere ambulatoriu Corp B Spitalul Clinic de Urgenta Oradea etapa I si Etapa II</t>
  </si>
  <si>
    <t>Cresterea performantei  energetice la Spit clinic Mun. G Curteanu</t>
  </si>
  <si>
    <t>Cresterea performantei  energetice la Spit clinic Jud de urgenta</t>
  </si>
  <si>
    <t>Creșterea eficienței energetice a Spitalului Clinic Judetean de Urgenta - Stationarul III, Calea Clujului nr. 50, Oradea</t>
  </si>
  <si>
    <t>Construire si dotare corp cladire destinat sectiilor de boli infectioase si pneumologie Vladeasa</t>
  </si>
  <si>
    <t>Extinderea și modernizarea compartimentului de terapie intensivă neonatală, dotarea cu echipamente specifice, amenajarea și dotarea unui centru regional de formare pentru pacienții critici nou-născuți în cadrul Spitalului Clinic Județean de Urgență Bihor</t>
  </si>
  <si>
    <t>Proiect integrat pentru dezvoltarea durabila in zona montana a judetului Bihor, imbunatatirea accesului si dezvoltarea serviciilor de sanatate in cazul interventiilor medicale in situatii de urgenta</t>
  </si>
  <si>
    <t>Eficientizare energetică – Reabilitarea și modernizarea Bazinului acoperit Crișul</t>
  </si>
  <si>
    <t>Regenerare urbana si cresterea calitatii spatiilor verzi din Municipiul Oradea BL (Revitalizarea urbana la nivelul Municipiului Oradea-Parcul 22 Decembrie, Revitalizarea urbana la nivelul Municipiului Oradea-Parcul Ion I.C. Bratianu, Revitalizarea urbana la nivelul Municipiului Oradea-Parcul Libertatii si zona malului Crisului din apropiere, Revitalizarea urbana la nivelul Municipiului Oradea-Parcul din santul cetatii Oradea)</t>
  </si>
  <si>
    <t> Lucrari de interes public local pentru amenajare de noi spatii verzi si pentru constructii cu caracter educativ si sportiv: Amenajare Gradina Urbana Nufarul in zona cuprinsa intre strada Meiului, strada Lotus, complex Lotus si strada Vavilov etapa 1</t>
  </si>
  <si>
    <t>Amenajare Gradina Termala Iosia</t>
  </si>
  <si>
    <t>Regenerare urbana in Cartierul Nufarul 1 zona 1</t>
  </si>
  <si>
    <t>Regenerare urbana in Cartierul Nufarul 1 zona 2</t>
  </si>
  <si>
    <t>Regenerare urbana in Cartierul Nufarul 1 zona 3</t>
  </si>
  <si>
    <t>Consolidarea si refacerea versantului in Gradina Publica Dealul Ciuperca</t>
  </si>
  <si>
    <t>Cresterea eficientei energetice la sediul DASO</t>
  </si>
  <si>
    <t>Renovare energetica moderata a blocurilor de locuinte: C41; PB3; PB5; D49; D51; U45; U47, Municipiul Oradea</t>
  </si>
  <si>
    <t>Servicii actualizare audit energetic reabilitare termica blocuri MO</t>
  </si>
  <si>
    <t xml:space="preserve">Valorificarea energiei geotermale în asociaţie cu pompe de căldură şi gaze naturale, pentru producerea agentului termic de încălzire şi preparare a apei calde de consum la consumatorii cartierului Nufărul I </t>
  </si>
  <si>
    <t>Improve employment in Bihor County Oradea and Hajduboszormeny through the development of the local potential infrastructures  Îmbunătățirea sectorului ocuparii fortei de muncă în jud Bihor-Oradea și Hajduboszormeny  prin dezvoltarea infrastructurilor cu potential local 
(Piata Cetate)</t>
  </si>
  <si>
    <t>Reabilitarea si refuncţionalizarea cladirii Manejului din cadrul Ansamblului Cazarma Husarilor Oradea</t>
  </si>
  <si>
    <t>Infiintare parc de specializare inteligenta Oradea</t>
  </si>
  <si>
    <t>Infiintare parc de specializare inteligenta 2 Oradea</t>
  </si>
  <si>
    <t>Reabilitare ansamblu Cultural Vulturul Negru</t>
  </si>
  <si>
    <t>Servicii de intocmire documentatii cadastrale</t>
  </si>
  <si>
    <t>Servicii de management energetic si consultanta in eficienta energetica pentru Municipiul Oradea</t>
  </si>
  <si>
    <t>Eficientizarea consumurilor energetice la Centrul Geotermal Oradea</t>
  </si>
  <si>
    <t>Sisteme fotovoltaice pentru clădiri publice - Municipiul Oradea</t>
  </si>
  <si>
    <t>Parc fotovoltaic pe amplasamentul Depozitului de Zgură și Cenușă Episcopia Bihor – Etapa I</t>
  </si>
  <si>
    <t>Reabilitarea și introducerea în circuitul turistic al Bisericii Sfintii Arhangheli Mihail si Gavriil Oradea Velenta I</t>
  </si>
  <si>
    <t>Reabilitare Biserica Sfantul Duh Mangaietorul</t>
  </si>
  <si>
    <t>Realizarea retelei de utilitati publice in Parcul Industrial Eurobusiness IV</t>
  </si>
  <si>
    <t>Dezvoltare, modernizare si completare a sistemului de management integrat al deșeurilor municipale la nivelul municipiului Oradea etapa I</t>
  </si>
  <si>
    <t>Cooperare municipala inovatoare  si solutii integrate pentru gestionarea valurilor de caldura in zonele urbane functionale</t>
  </si>
  <si>
    <t>Zidurile Cetatii Oradea - Bastionul Craisor – Etapa a -IV-a</t>
  </si>
  <si>
    <t>Proiectare pentru reabilitarea, restaurarea si refunctionalizarea zidurilor Cetatii Oradea(bastioane, curtine si contraescarpa) in vederea introducerii in circuitul turistic</t>
  </si>
  <si>
    <t xml:space="preserve">Cercetare arheologica pentru reabilitarea, restaurarea si refunctionalizarea zidurilor Cetatii Oradea(bastioane, curtine si contraescarpa) in vederea introducerii in circuitul turistic. Reabilitarea, restaurarea si refunctionalizarea Bastioanelor Aurit si Rosu, a Curtinelor si Contraescarpei </t>
  </si>
  <si>
    <t>Reabilitarea sistemului de termoficare urbana la nivelul municipiului Oradea, pentru perioada 2009-2028, in scopul conformarii la legislatia de mediu si cresterii eficientei energetice Etapa I</t>
  </si>
  <si>
    <t xml:space="preserve">Valorificarea energiei geotermale in asociere cu agent termic primar, pentru producerea agentului termic pentru incalzire si apa calda in zona salii polivalente </t>
  </si>
  <si>
    <t>Valorificarea energiei geotermale în asociere cu agent termic primar, pentru producerea agentului termic pentru încălzire și apă caldă în zona Ioșia - Sud</t>
  </si>
  <si>
    <t>Reabilitarea sistemului de termoficare urbana la nivelul municipiului Oradea, pentru perioada 2009-2028, in scopul conformarii la legislatia de mediu si cresterii eficientei energetice Etapa III</t>
  </si>
  <si>
    <t>Unitate de productie cogenerare de inalta eficiență pentru inlocuirea blocului 1 existent (Grup 7 Proiectare+Execuție+Supervizare)</t>
  </si>
  <si>
    <t>Extinderea retelei geotermale pe Calea Clujului si construire statie geotermala</t>
  </si>
  <si>
    <t>Reabilitarea sistemului de termoficare urbana la nivelul municipiului Oradea, pentru perioada 2009-2028, in scopul conformarii la legislatia de mediu si cresterii eficientei energetice Etapa IV</t>
  </si>
  <si>
    <t>Valorificarea energiei geotermale pe platforma CET-Oradea</t>
  </si>
  <si>
    <t>Modernizarea flotei de tramvaie la nivelul Municipiului Oradea - etapa 1</t>
  </si>
  <si>
    <t>Implementare sistem de management al traficului la nivelul Zonei Metropolitane Oradea - etapa 1</t>
  </si>
  <si>
    <t>Implementare sistem de management al traficului la nivelul Zonei Metropolitane Oradea - etapa 2</t>
  </si>
  <si>
    <t>Modernizare infrastructura depou tramvaie Oradea</t>
  </si>
  <si>
    <t>Dezvoltarea și optimizarea sistemului de transport public la nivelul municipiului oradea și a zonei sale urbane funcționale prin amenajarea și dotarea unei autobaze</t>
  </si>
  <si>
    <t>Descongestionarea traficului rutier si imbunatatirea mobilitatii populatiei pe coridorul transfrontalier de legatura Oradea - Biharkeresztes</t>
  </si>
  <si>
    <t>Drumuri colectoare Pasaj pentru Centrul de Transport Intermodal Municipiul Oradea, Judetul Bihor</t>
  </si>
  <si>
    <t xml:space="preserve">Coridorul de mobilitate Magheru - Republicii din Municipiul Oradea - etapa 1 </t>
  </si>
  <si>
    <t xml:space="preserve">Coridorul de mobilitate Magheru - Republicii din Municipiul Oradea - etapa 2 </t>
  </si>
  <si>
    <t>Coridor de mobilitate urbana Decebal Vladimirescu</t>
  </si>
  <si>
    <t>Amenajare zona pietonala mal stang si mal drept Crisul Repede</t>
  </si>
  <si>
    <t>Amenajare piațeta str. Dunărea , municipiul Oradea, județul Bihor  (proiectare+executie)</t>
  </si>
  <si>
    <t>Coridor de mobilitate pietonală strada Republicii,  municipiul Oradea, județul Bihor  (proiectare+executie)</t>
  </si>
  <si>
    <t xml:space="preserve">Construire pod pietonal peste Crisul Repede zona Hotel Dacia Hotel Hilton    </t>
  </si>
  <si>
    <t xml:space="preserve">Realizare coridor pietonal si ciclistic intre Cetatea Oradea si podul proiectat in zona Hotelului Hilton </t>
  </si>
  <si>
    <t>Reabilitare Piata Concordiei</t>
  </si>
  <si>
    <t>Readaptarea calitativa a strazii Primariei</t>
  </si>
  <si>
    <t>Reabilitare strazi Episcop Mihai Pavel si Jean Calvin</t>
  </si>
  <si>
    <t>Spitalul Clinic Judetean</t>
  </si>
  <si>
    <t>Aparatura</t>
  </si>
  <si>
    <t>Analizator automat de imunologie</t>
  </si>
  <si>
    <t>Agregat de racire 151 kw agent frigorific R32</t>
  </si>
  <si>
    <t>Agregat de racire 78 kw agent frigorific R32</t>
  </si>
  <si>
    <t>Aparat pentru purificare apa cu rezervor extern</t>
  </si>
  <si>
    <t xml:space="preserve">Aparat radiologic cu post de scopie -grafie </t>
  </si>
  <si>
    <t>Aparat DEXA</t>
  </si>
  <si>
    <t>Aparat ventilatie performant</t>
  </si>
  <si>
    <t>Aparat ventillatie inalta perormanta</t>
  </si>
  <si>
    <t>Autoutilitara 3,5 tone furgon L3h2 fwd 103kw</t>
  </si>
  <si>
    <t>Autoutilitara 2.0 TDI 75kw 3 usi (marfa)</t>
  </si>
  <si>
    <t>Canapea multifunctionala ginecologica, cu inaltime reglabila</t>
  </si>
  <si>
    <t>Echipament pentru monitorizarea continua a blocului neuromuscular</t>
  </si>
  <si>
    <t>Ecograf portabil</t>
  </si>
  <si>
    <t>Echipament hardware NAS (Network Attached Storage)</t>
  </si>
  <si>
    <t>Electrogardiograf cu 12 canale , carucior ekg cu brat</t>
  </si>
  <si>
    <t>Electrocardiograf 12 canale cu masuratori interpretari si troliu</t>
  </si>
  <si>
    <t>Incubator cu agitator pentru trombocite</t>
  </si>
  <si>
    <t>Injectomate</t>
  </si>
  <si>
    <t>Laptop</t>
  </si>
  <si>
    <t>Masina de sigilat pungi</t>
  </si>
  <si>
    <t>Monitor de uz medical si brat articulat cu montaj pe tavan</t>
  </si>
  <si>
    <t xml:space="preserve">Scaun de recoltare sange </t>
  </si>
  <si>
    <t>Server de stocare in retea</t>
  </si>
  <si>
    <t>Sistem PC + Monitor cu software preinstalat (office si windows) si licenta platforma de management flota</t>
  </si>
  <si>
    <t>Targa transport pacienti manuala</t>
  </si>
  <si>
    <t>Termostat încălzire soluții perfuzabile</t>
  </si>
  <si>
    <t>Trusa pentru artroscopie</t>
  </si>
  <si>
    <t>Turn pentru laparoscopie cu linie video full 4K cu instrumentar si unitate chirurgicala</t>
  </si>
  <si>
    <t>Sistem de compresie intermitenta</t>
  </si>
  <si>
    <t>Sistem integrat pentru digitalizarea, trasabilitatea si managementul reprocesarii instrumentarului chirurgical si a dispozitivelor medicale in Unitatea Centrala de Sterilizare si Blocul Operator</t>
  </si>
  <si>
    <t>Spirometru cu turbina reutilizabila</t>
  </si>
  <si>
    <t>Statie de aer comprimat medical 109.20 mc/h</t>
  </si>
  <si>
    <t>Statie de aer comprimat medical 153.60 mc/h</t>
  </si>
  <si>
    <t xml:space="preserve">Stimulator cardiac exern </t>
  </si>
  <si>
    <t>Videoproiector Laser</t>
  </si>
  <si>
    <t>Proiecte cu finantare UE</t>
  </si>
  <si>
    <t>Investitii in infrastructura Spitalului Clinic Judetean de Urgenta Bihor pentru diagnosticarea si tratarea cancerului</t>
  </si>
  <si>
    <t>Neuro-AVC- Investitii de tip dotare in infrastructura Spitalului Clinic Judetean Bihor pentru tratarea pacientului critic cu patologie vasculara cerebrala acuta</t>
  </si>
  <si>
    <t>CARDIOLOGIE SCJU BIHOR - Investiții de tip dotare în infrastructura unităților sanitare publice care tratează pacienți cardiaci critici (USTACC)</t>
  </si>
  <si>
    <t xml:space="preserve">Investitii in infrastructura Spitalului Clinic Judetean de Urgenta Bihor pentru furnizarea serviciilor de paliatie </t>
  </si>
  <si>
    <t>POLITRAUMĂ - Investiții în infrastructura publică a SCJU Bihor pentru tratarea pacienților critici - politraumă</t>
  </si>
  <si>
    <t>Digitalizarea Spitalului Clinic Județean de Urgență Bihor</t>
  </si>
  <si>
    <t>Constructii  si Reparatii capitale</t>
  </si>
  <si>
    <t>Dirigentie de santier la lucrarea Amenajare Bloc Operator Chirurgie Oncologica ST II</t>
  </si>
  <si>
    <t xml:space="preserve">Executie lucrări de instalare si punere in functiune a sistemului de supraveghere video in Stationar I </t>
  </si>
  <si>
    <t xml:space="preserve">Executie lucrari necesare in Stationar I pentru autorizare ISU </t>
  </si>
  <si>
    <t>Sistem de detecție, avertizare și monitorizare oxigen la Stationar I si Stationar III</t>
  </si>
  <si>
    <t>Sistem de detecție, avertizare și semnalizare in caz de incendiu la Stationar V</t>
  </si>
  <si>
    <t>Amenajare sectie oftalmologie si genetica in cadrul SCJUBH str. Clujului nr.50 cop C1- faza PT</t>
  </si>
  <si>
    <t>Amenajare bucatarie de lapte in cadrul Maternitatii Oradea Clujului nr50 cop C2- faza PT</t>
  </si>
  <si>
    <t>Amenajare bloc nasteri  cadrul Maternitatii Oradea Clujului nr.50 cop C2- faza PT</t>
  </si>
  <si>
    <t>Reparații complementare de reabilitare termică incluzând instalații de fluide medicale și instalații de detecție și semnalizare incendii pentru locația din strada Corneliu Coposu, nr. 12 - Proiectare și execuție</t>
  </si>
  <si>
    <t>Studiu de fezabilitate pentru lucrarea de investiție - Construire corp Medicina Nucleară și Sănătate Mintală în cadrul Spitalului Clinic Județean de Urgență Bihor</t>
  </si>
  <si>
    <t xml:space="preserve">Școala  Gimnazială Oltea  Doamna- Laptop </t>
  </si>
  <si>
    <t xml:space="preserve">Școala  Gimnazială Oltea  Doamna - Ecran proiectie exterior </t>
  </si>
  <si>
    <t xml:space="preserve">Școala  Gimnazială Oltea  Doamna - Xerox </t>
  </si>
  <si>
    <t xml:space="preserve">Școala  Gimnazială Oltea  Doamna- Licente software </t>
  </si>
  <si>
    <t xml:space="preserve">Școala Gimnazială Dimitrie Cantemir -  Copiator multifuncțional </t>
  </si>
  <si>
    <t>Scoala Gimnaziala  Avram Iancu -Elevatoare cu senila pentru scari (2 buc)</t>
  </si>
  <si>
    <t xml:space="preserve">Colegiul Național Iosif Vulcan -Multifuncțională </t>
  </si>
  <si>
    <t>Liceul cu  Program Sportiv Bihorul- Pompa grădină</t>
  </si>
  <si>
    <t>Liceul cu  Program Sportiv Bihorul- Marcator teren</t>
  </si>
  <si>
    <t xml:space="preserve">Colegiul Economic Partenie Cosma -Amenajare hotel școală,  aparatură birotică </t>
  </si>
  <si>
    <t xml:space="preserve">Colegiul Economic Partenie Cosma -Implementare sistem de irigații pentru gazon-spațiu verde campus </t>
  </si>
  <si>
    <t>TOTAL GENERAL</t>
  </si>
  <si>
    <t>Anexa nr.1</t>
  </si>
  <si>
    <t>Anexa nr.2</t>
  </si>
  <si>
    <t>Anexa nr.3</t>
  </si>
  <si>
    <t>PROIECT BUGET CONSOLIDAT AN  2026 - VENITURI</t>
  </si>
  <si>
    <t>Propus 2026</t>
  </si>
  <si>
    <t>I.  BUGETUL LOCAL</t>
  </si>
  <si>
    <t xml:space="preserve">PROIECT BUGET CONSOLIDAT AN 2026 - CHELTUIELI OPERAȚIONALE </t>
  </si>
  <si>
    <t xml:space="preserve">     - fond de rezerva</t>
  </si>
  <si>
    <t xml:space="preserve">     - Asociatia pt. educatie in ospitalitate</t>
  </si>
  <si>
    <t xml:space="preserve">       - schema ajutor curse aeriene</t>
  </si>
  <si>
    <t>Subv pt activ de expl. OTL</t>
  </si>
  <si>
    <t>Subv de exploatare Termoficare</t>
  </si>
  <si>
    <t>Buget final 2025</t>
  </si>
  <si>
    <t>III. BUGETUL INSTITUTIILOR PUBLICE FINANTATE INTEGRAL SAU PARTIAL DIN VENITURI PROPRII</t>
  </si>
  <si>
    <t xml:space="preserve">      - despagubiri civile ang DASO + desp civile asist pers vouchere</t>
  </si>
  <si>
    <t xml:space="preserve">      -servicii de recuperare pt copii cu dizabilitati DGASPC</t>
  </si>
  <si>
    <t xml:space="preserve">      - Chelt cu preg prof a asist personali/insotitori pers.handicap/ analize medicale asist personali</t>
  </si>
  <si>
    <t xml:space="preserve">      - Asoc si fundatii</t>
  </si>
  <si>
    <t>Extindere, reîntregire imobil Casa Leda cu părți de imobil strada Republicii 57 prin cumpărare de către Fundația Leda Alapitvany - Legea 9/2023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</si>
</sst>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l_e_i_-;\-* #,##0.00\ _l_e_i_-;_-* &quot;-&quot;??\ _l_e_i_-;_-@_-"/>
    <numFmt numFmtId="164" formatCode="_(* #,##0.00_);_(* \(#,##0.00\);_(* &quot;-&quot;??_);_(@_)"/>
    <numFmt numFmtId="165" formatCode="_-* #,##0\ _l_e_i_-;\-* #,##0\ _l_e_i_-;_-* &quot;-&quot;??\ _l_e_i_-;_-@_-"/>
    <numFmt numFmtId="166" formatCode="#,##0.00000"/>
    <numFmt numFmtId="167" formatCode="0.0%"/>
  </numFmts>
  <fonts count="47" x14ac:knownFonts="1">
    <font>
      <sz val="11"/>
      <color theme="1"/>
      <name val="Calibri"/>
      <family val="2"/>
      <scheme val="minor"/>
    </font>
    <font>
      <sz val="11"/>
      <color theme="1"/>
      <name val="Calibri"/>
      <family val="2"/>
      <charset val="238"/>
      <scheme val="minor"/>
    </font>
    <font>
      <sz val="11"/>
      <color theme="1"/>
      <name val="Calibri"/>
      <family val="2"/>
      <scheme val="minor"/>
    </font>
    <font>
      <b/>
      <sz val="10"/>
      <name val="Arial"/>
      <family val="2"/>
    </font>
    <font>
      <sz val="10"/>
      <name val="Arial"/>
      <family val="2"/>
    </font>
    <font>
      <b/>
      <sz val="10"/>
      <name val="Arial"/>
      <family val="2"/>
      <charset val="238"/>
    </font>
    <font>
      <b/>
      <sz val="14"/>
      <name val="Arial"/>
      <family val="2"/>
    </font>
    <font>
      <b/>
      <sz val="12"/>
      <color indexed="9"/>
      <name val="Arial"/>
      <family val="2"/>
    </font>
    <font>
      <b/>
      <sz val="9"/>
      <name val="Arial"/>
      <family val="2"/>
    </font>
    <font>
      <b/>
      <sz val="10"/>
      <color theme="0"/>
      <name val="Arial"/>
      <family val="2"/>
    </font>
    <font>
      <sz val="9"/>
      <name val="Arial"/>
      <family val="2"/>
    </font>
    <font>
      <sz val="10"/>
      <name val="Arial"/>
      <family val="2"/>
      <charset val="238"/>
    </font>
    <font>
      <i/>
      <sz val="10"/>
      <name val="Arial"/>
      <family val="2"/>
    </font>
    <font>
      <i/>
      <sz val="9"/>
      <name val="Arial"/>
      <family val="2"/>
    </font>
    <font>
      <b/>
      <i/>
      <sz val="10"/>
      <name val="Arial"/>
      <family val="2"/>
    </font>
    <font>
      <sz val="9"/>
      <name val="Arial"/>
      <family val="2"/>
      <charset val="238"/>
    </font>
    <font>
      <i/>
      <sz val="9"/>
      <name val="Arial Narrow"/>
      <family val="2"/>
    </font>
    <font>
      <sz val="12"/>
      <color indexed="9"/>
      <name val="Arial"/>
      <family val="2"/>
    </font>
    <font>
      <b/>
      <sz val="12"/>
      <name val="Agency FB"/>
      <family val="2"/>
    </font>
    <font>
      <sz val="14"/>
      <name val="Arial"/>
      <family val="2"/>
    </font>
    <font>
      <sz val="8"/>
      <name val="Arial"/>
      <family val="2"/>
    </font>
    <font>
      <b/>
      <sz val="10"/>
      <color theme="1"/>
      <name val="Arial"/>
      <family val="2"/>
    </font>
    <font>
      <sz val="10"/>
      <color indexed="8"/>
      <name val="Arial"/>
      <family val="2"/>
    </font>
    <font>
      <b/>
      <sz val="11"/>
      <color theme="1"/>
      <name val="Calibri"/>
      <family val="2"/>
      <scheme val="minor"/>
    </font>
    <font>
      <sz val="9"/>
      <color indexed="8"/>
      <name val="Arial"/>
      <family val="2"/>
    </font>
    <font>
      <b/>
      <sz val="12"/>
      <name val="Arial"/>
      <family val="2"/>
      <charset val="238"/>
    </font>
    <font>
      <sz val="11"/>
      <name val="Arial"/>
      <family val="2"/>
    </font>
    <font>
      <sz val="11"/>
      <color theme="1"/>
      <name val="Calibri"/>
      <family val="2"/>
      <charset val="238"/>
      <scheme val="minor"/>
    </font>
    <font>
      <sz val="10"/>
      <color theme="1"/>
      <name val="Calibri"/>
      <family val="2"/>
      <scheme val="minor"/>
    </font>
    <font>
      <sz val="10"/>
      <name val="Tahoma"/>
      <family val="2"/>
    </font>
    <font>
      <sz val="11"/>
      <color theme="0"/>
      <name val="Calibri"/>
      <family val="2"/>
      <scheme val="minor"/>
    </font>
    <font>
      <b/>
      <sz val="12"/>
      <color theme="0"/>
      <name val="Arial"/>
      <family val="2"/>
    </font>
    <font>
      <sz val="8"/>
      <name val="Calibri"/>
      <family val="2"/>
      <scheme val="minor"/>
    </font>
    <font>
      <sz val="9"/>
      <color indexed="81"/>
      <name val="Tahoma"/>
      <family val="2"/>
    </font>
    <font>
      <b/>
      <sz val="9"/>
      <color indexed="81"/>
      <name val="Tahoma"/>
      <family val="2"/>
    </font>
    <font>
      <sz val="10"/>
      <color theme="1"/>
      <name val="Arial"/>
      <family val="2"/>
    </font>
    <font>
      <sz val="10"/>
      <color theme="3" tint="-0.249977111117893"/>
      <name val="Arial"/>
      <family val="2"/>
    </font>
    <font>
      <b/>
      <sz val="10"/>
      <color theme="3" tint="-0.249977111117893"/>
      <name val="Arial"/>
      <family val="2"/>
    </font>
    <font>
      <b/>
      <sz val="12"/>
      <name val="Arial"/>
      <family val="2"/>
    </font>
    <font>
      <i/>
      <sz val="10"/>
      <color theme="1"/>
      <name val="Arial"/>
      <family val="2"/>
    </font>
    <font>
      <b/>
      <i/>
      <sz val="10"/>
      <color theme="1"/>
      <name val="Arial"/>
      <family val="2"/>
    </font>
    <font>
      <b/>
      <sz val="10"/>
      <color rgb="FFFF0000"/>
      <name val="Arial"/>
      <family val="2"/>
    </font>
    <font>
      <sz val="10"/>
      <color rgb="FF000000"/>
      <name val="Arial"/>
      <family val="2"/>
    </font>
    <font>
      <sz val="11"/>
      <color rgb="FF000000"/>
      <name val="Calibri"/>
      <family val="2"/>
      <scheme val="minor"/>
    </font>
    <font>
      <sz val="14"/>
      <color theme="1"/>
      <name val="Calibri"/>
      <family val="2"/>
      <scheme val="minor"/>
    </font>
    <font>
      <b/>
      <sz val="16"/>
      <name val="Arial"/>
      <family val="2"/>
    </font>
    <font>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70C0"/>
        <bgColor indexed="64"/>
      </patternFill>
    </fill>
    <fill>
      <patternFill patternType="solid">
        <fgColor theme="5" tint="-0.249977111117893"/>
        <bgColor indexed="64"/>
      </patternFill>
    </fill>
  </fills>
  <borders count="50">
    <border>
      <left/>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43">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11"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27" fillId="0" borderId="0"/>
    <xf numFmtId="0" fontId="4" fillId="0" borderId="0"/>
    <xf numFmtId="0" fontId="4" fillId="0" borderId="0"/>
    <xf numFmtId="0" fontId="27" fillId="0" borderId="0"/>
    <xf numFmtId="0" fontId="1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29" fillId="0" borderId="0"/>
    <xf numFmtId="0" fontId="4" fillId="0" borderId="0"/>
    <xf numFmtId="0" fontId="4" fillId="0" borderId="0"/>
    <xf numFmtId="0" fontId="4" fillId="0" borderId="0"/>
    <xf numFmtId="0" fontId="1" fillId="0" borderId="0"/>
    <xf numFmtId="0" fontId="11" fillId="0" borderId="0"/>
    <xf numFmtId="0" fontId="4" fillId="0" borderId="0">
      <alignment vertical="center"/>
    </xf>
    <xf numFmtId="43" fontId="11" fillId="0" borderId="0" applyFont="0" applyFill="0" applyBorder="0" applyAlignment="0" applyProtection="0"/>
    <xf numFmtId="0" fontId="4" fillId="0" borderId="0" applyProtection="0">
      <alignment vertical="center"/>
    </xf>
    <xf numFmtId="0" fontId="4" fillId="0" borderId="0" applyProtection="0">
      <alignment vertical="center"/>
    </xf>
    <xf numFmtId="0" fontId="4" fillId="0" borderId="0" applyProtection="0">
      <alignment vertical="center"/>
    </xf>
    <xf numFmtId="0" fontId="4" fillId="0" borderId="0" applyProtection="0">
      <alignment vertical="center"/>
    </xf>
    <xf numFmtId="0" fontId="10" fillId="0" borderId="0" applyProtection="0">
      <alignment vertical="center"/>
    </xf>
    <xf numFmtId="0" fontId="4" fillId="0" borderId="0" applyProtection="0">
      <alignment vertical="center"/>
    </xf>
    <xf numFmtId="0" fontId="4" fillId="0" borderId="0" applyProtection="0">
      <alignment vertical="center"/>
    </xf>
    <xf numFmtId="0" fontId="4" fillId="0" borderId="0" applyProtection="0">
      <alignment vertical="center"/>
    </xf>
    <xf numFmtId="164" fontId="4" fillId="0" borderId="0" applyFont="0" applyFill="0" applyBorder="0" applyAlignment="0" applyProtection="0"/>
    <xf numFmtId="0" fontId="4" fillId="0" borderId="0"/>
  </cellStyleXfs>
  <cellXfs count="451">
    <xf numFmtId="0" fontId="0" fillId="0" borderId="0" xfId="0"/>
    <xf numFmtId="0" fontId="3" fillId="0" borderId="0" xfId="0" applyFont="1" applyAlignment="1">
      <alignment wrapText="1"/>
    </xf>
    <xf numFmtId="0" fontId="4" fillId="0" borderId="0" xfId="0" applyFont="1"/>
    <xf numFmtId="0" fontId="3" fillId="3" borderId="7" xfId="0" applyFont="1" applyFill="1" applyBorder="1" applyAlignment="1">
      <alignment vertical="center" wrapText="1"/>
    </xf>
    <xf numFmtId="0" fontId="4" fillId="3" borderId="7" xfId="0" applyFont="1" applyFill="1" applyBorder="1" applyAlignment="1">
      <alignment vertical="center" wrapText="1"/>
    </xf>
    <xf numFmtId="0" fontId="12" fillId="3" borderId="7" xfId="0" applyFont="1" applyFill="1" applyBorder="1" applyAlignment="1">
      <alignment horizontal="left" vertical="center" wrapText="1"/>
    </xf>
    <xf numFmtId="38" fontId="4" fillId="2" borderId="5" xfId="1" applyNumberFormat="1" applyFont="1" applyFill="1" applyBorder="1" applyAlignment="1">
      <alignment horizontal="right" vertical="distributed"/>
    </xf>
    <xf numFmtId="0" fontId="4" fillId="3" borderId="7" xfId="0" applyFont="1" applyFill="1" applyBorder="1" applyAlignment="1">
      <alignment wrapText="1"/>
    </xf>
    <xf numFmtId="0" fontId="4" fillId="0" borderId="0" xfId="0" applyFont="1" applyAlignment="1">
      <alignment wrapText="1"/>
    </xf>
    <xf numFmtId="0" fontId="3" fillId="3" borderId="7" xfId="0" applyFont="1" applyFill="1" applyBorder="1" applyAlignment="1">
      <alignment wrapText="1"/>
    </xf>
    <xf numFmtId="0" fontId="14" fillId="3" borderId="7" xfId="0" applyFont="1" applyFill="1" applyBorder="1" applyAlignment="1">
      <alignment wrapText="1"/>
    </xf>
    <xf numFmtId="0" fontId="5" fillId="3" borderId="7" xfId="0" applyFont="1" applyFill="1" applyBorder="1" applyAlignment="1">
      <alignment wrapText="1"/>
    </xf>
    <xf numFmtId="3" fontId="4" fillId="0" borderId="0" xfId="0" applyNumberFormat="1" applyFont="1"/>
    <xf numFmtId="0" fontId="3" fillId="0" borderId="0" xfId="0" applyFont="1" applyAlignment="1">
      <alignment horizontal="center" vertical="center" wrapText="1"/>
    </xf>
    <xf numFmtId="0" fontId="3" fillId="0" borderId="11" xfId="0" applyFont="1" applyBorder="1" applyAlignment="1">
      <alignment vertical="center" wrapText="1"/>
    </xf>
    <xf numFmtId="3" fontId="3" fillId="2" borderId="13" xfId="0" applyNumberFormat="1" applyFont="1" applyFill="1" applyBorder="1" applyAlignment="1">
      <alignment vertical="center"/>
    </xf>
    <xf numFmtId="0" fontId="3" fillId="0" borderId="7" xfId="0" applyFont="1" applyBorder="1" applyAlignment="1">
      <alignment vertical="center" wrapText="1"/>
    </xf>
    <xf numFmtId="3" fontId="3" fillId="2" borderId="5" xfId="0" applyNumberFormat="1" applyFont="1" applyFill="1" applyBorder="1" applyAlignment="1">
      <alignment vertical="center"/>
    </xf>
    <xf numFmtId="0" fontId="3" fillId="2" borderId="7" xfId="0" applyFont="1" applyFill="1" applyBorder="1" applyAlignment="1">
      <alignment vertical="center" wrapText="1"/>
    </xf>
    <xf numFmtId="0" fontId="16" fillId="0" borderId="7" xfId="0" applyFont="1" applyBorder="1" applyAlignment="1">
      <alignment vertical="center" wrapText="1"/>
    </xf>
    <xf numFmtId="0" fontId="4" fillId="0" borderId="6" xfId="0" applyFont="1" applyBorder="1" applyAlignment="1">
      <alignment vertical="center" wrapText="1"/>
    </xf>
    <xf numFmtId="3" fontId="13" fillId="2" borderId="5" xfId="0" applyNumberFormat="1" applyFont="1" applyFill="1" applyBorder="1" applyAlignment="1">
      <alignment vertical="center"/>
    </xf>
    <xf numFmtId="0" fontId="16" fillId="0" borderId="10" xfId="0" applyFont="1" applyBorder="1" applyAlignment="1">
      <alignment vertical="center" wrapText="1"/>
    </xf>
    <xf numFmtId="3" fontId="13" fillId="2" borderId="9" xfId="0" applyNumberFormat="1" applyFont="1" applyFill="1" applyBorder="1" applyAlignment="1">
      <alignment vertical="center"/>
    </xf>
    <xf numFmtId="0" fontId="3" fillId="0" borderId="0" xfId="0" applyFont="1" applyAlignment="1">
      <alignment vertical="center" wrapText="1"/>
    </xf>
    <xf numFmtId="14" fontId="4" fillId="0" borderId="0" xfId="0" applyNumberFormat="1" applyFont="1" applyAlignment="1">
      <alignment wrapText="1"/>
    </xf>
    <xf numFmtId="0" fontId="4" fillId="0" borderId="1" xfId="0" applyFont="1" applyBorder="1" applyAlignment="1">
      <alignment vertical="center" wrapText="1"/>
    </xf>
    <xf numFmtId="0" fontId="4" fillId="0" borderId="19" xfId="0" applyFont="1" applyBorder="1" applyAlignment="1">
      <alignment horizontal="left" vertical="center"/>
    </xf>
    <xf numFmtId="3" fontId="4" fillId="2" borderId="6" xfId="0" applyNumberFormat="1" applyFont="1" applyFill="1" applyBorder="1" applyAlignment="1">
      <alignment vertical="center"/>
    </xf>
    <xf numFmtId="0" fontId="4" fillId="0" borderId="7" xfId="0" applyFont="1" applyBorder="1" applyAlignment="1">
      <alignment horizontal="left" vertical="center"/>
    </xf>
    <xf numFmtId="38" fontId="4" fillId="2" borderId="6" xfId="1" applyNumberFormat="1" applyFont="1" applyFill="1" applyBorder="1" applyAlignment="1">
      <alignment horizontal="right" vertical="distributed"/>
    </xf>
    <xf numFmtId="4" fontId="4" fillId="0" borderId="0" xfId="0" applyNumberFormat="1" applyFont="1"/>
    <xf numFmtId="0" fontId="19" fillId="0" borderId="0" xfId="0" applyFont="1"/>
    <xf numFmtId="0" fontId="3" fillId="0" borderId="0" xfId="0" applyFont="1" applyAlignment="1">
      <alignment horizontal="left" wrapText="1"/>
    </xf>
    <xf numFmtId="3" fontId="3" fillId="2" borderId="6" xfId="1" applyNumberFormat="1" applyFont="1" applyFill="1" applyBorder="1" applyAlignment="1">
      <alignment horizontal="right" vertical="distributed"/>
    </xf>
    <xf numFmtId="3" fontId="4" fillId="0" borderId="6" xfId="1" applyNumberFormat="1" applyFont="1" applyFill="1" applyBorder="1" applyAlignment="1">
      <alignment horizontal="right" vertical="distributed"/>
    </xf>
    <xf numFmtId="3" fontId="4" fillId="2" borderId="6" xfId="1" applyNumberFormat="1" applyFont="1" applyFill="1" applyBorder="1" applyAlignment="1">
      <alignment horizontal="right" vertical="distributed"/>
    </xf>
    <xf numFmtId="165" fontId="4" fillId="2" borderId="6" xfId="1" applyNumberFormat="1" applyFont="1" applyFill="1" applyBorder="1" applyAlignment="1">
      <alignment horizontal="right" vertical="distributed"/>
    </xf>
    <xf numFmtId="0" fontId="4" fillId="0" borderId="6" xfId="0" applyFont="1" applyBorder="1" applyAlignment="1">
      <alignment wrapText="1"/>
    </xf>
    <xf numFmtId="38" fontId="4" fillId="2" borderId="6" xfId="2" applyNumberFormat="1" applyFont="1" applyFill="1" applyBorder="1" applyAlignment="1">
      <alignment horizontal="right" vertical="distributed"/>
    </xf>
    <xf numFmtId="0" fontId="22" fillId="0" borderId="6" xfId="0" applyFont="1" applyBorder="1" applyAlignment="1">
      <alignment wrapText="1"/>
    </xf>
    <xf numFmtId="2" fontId="22" fillId="0" borderId="6" xfId="0" applyNumberFormat="1" applyFont="1" applyBorder="1" applyAlignment="1">
      <alignment wrapText="1"/>
    </xf>
    <xf numFmtId="0" fontId="10" fillId="0" borderId="0" xfId="0" applyFont="1"/>
    <xf numFmtId="0" fontId="10" fillId="0" borderId="21" xfId="0" applyFont="1" applyBorder="1" applyAlignment="1">
      <alignment horizontal="center"/>
    </xf>
    <xf numFmtId="0" fontId="10" fillId="0" borderId="22" xfId="0" applyFont="1" applyBorder="1" applyAlignment="1">
      <alignment horizontal="center"/>
    </xf>
    <xf numFmtId="0" fontId="4" fillId="0" borderId="7" xfId="0" applyFont="1" applyBorder="1" applyAlignment="1">
      <alignment horizontal="left" vertical="center" wrapText="1"/>
    </xf>
    <xf numFmtId="4" fontId="8" fillId="0" borderId="0" xfId="0" applyNumberFormat="1" applyFont="1"/>
    <xf numFmtId="4" fontId="10" fillId="0" borderId="0" xfId="0" applyNumberFormat="1" applyFont="1"/>
    <xf numFmtId="0" fontId="10" fillId="0" borderId="0" xfId="0" applyFont="1" applyAlignment="1">
      <alignment horizontal="center"/>
    </xf>
    <xf numFmtId="0" fontId="3" fillId="0" borderId="0" xfId="0" applyFont="1" applyAlignment="1">
      <alignment horizontal="left" vertical="center" wrapText="1"/>
    </xf>
    <xf numFmtId="0" fontId="20" fillId="0" borderId="0" xfId="0" applyFont="1"/>
    <xf numFmtId="4" fontId="0" fillId="0" borderId="0" xfId="0" applyNumberFormat="1"/>
    <xf numFmtId="4" fontId="23" fillId="0" borderId="0" xfId="0" applyNumberFormat="1" applyFont="1"/>
    <xf numFmtId="3" fontId="8" fillId="0" borderId="0" xfId="3" applyNumberFormat="1" applyFont="1" applyAlignment="1">
      <alignment horizontal="center" vertical="center" wrapText="1"/>
    </xf>
    <xf numFmtId="0" fontId="10" fillId="0" borderId="0" xfId="3" applyFont="1" applyAlignment="1">
      <alignment horizontal="center"/>
    </xf>
    <xf numFmtId="0" fontId="24" fillId="0" borderId="0" xfId="3" applyFont="1" applyAlignment="1">
      <alignment vertical="center"/>
    </xf>
    <xf numFmtId="3" fontId="24" fillId="0" borderId="0" xfId="3" applyNumberFormat="1" applyFont="1" applyAlignment="1">
      <alignment vertical="center"/>
    </xf>
    <xf numFmtId="0" fontId="8" fillId="0" borderId="0" xfId="3" applyFont="1" applyAlignment="1">
      <alignment vertical="center"/>
    </xf>
    <xf numFmtId="4" fontId="10" fillId="3" borderId="0" xfId="0" applyNumberFormat="1" applyFont="1" applyFill="1"/>
    <xf numFmtId="4" fontId="4" fillId="0" borderId="0" xfId="0" applyNumberFormat="1" applyFont="1" applyAlignment="1">
      <alignment horizontal="right"/>
    </xf>
    <xf numFmtId="0" fontId="10" fillId="0" borderId="24" xfId="0" applyFont="1" applyBorder="1" applyAlignment="1">
      <alignment horizontal="center"/>
    </xf>
    <xf numFmtId="165" fontId="4" fillId="0" borderId="6" xfId="1" applyNumberFormat="1" applyFont="1" applyFill="1" applyBorder="1" applyAlignment="1">
      <alignment horizontal="right" vertical="distributed"/>
    </xf>
    <xf numFmtId="38" fontId="4" fillId="0" borderId="6" xfId="1" applyNumberFormat="1" applyFont="1" applyFill="1" applyBorder="1" applyAlignment="1">
      <alignment horizontal="right" vertical="distributed"/>
    </xf>
    <xf numFmtId="0" fontId="26" fillId="2" borderId="7" xfId="0" applyFont="1" applyFill="1" applyBorder="1" applyAlignment="1">
      <alignment vertical="center" wrapText="1"/>
    </xf>
    <xf numFmtId="38" fontId="4" fillId="2" borderId="13" xfId="1" applyNumberFormat="1" applyFont="1" applyFill="1" applyBorder="1" applyAlignment="1">
      <alignment horizontal="right" vertical="distributed"/>
    </xf>
    <xf numFmtId="3" fontId="4" fillId="2" borderId="5" xfId="1" applyNumberFormat="1" applyFont="1" applyFill="1" applyBorder="1" applyAlignment="1">
      <alignment horizontal="right" vertical="distributed"/>
    </xf>
    <xf numFmtId="0" fontId="5" fillId="0" borderId="6" xfId="0" applyFont="1" applyBorder="1" applyAlignment="1">
      <alignment vertical="center" wrapText="1"/>
    </xf>
    <xf numFmtId="165" fontId="4" fillId="2" borderId="5" xfId="1" applyNumberFormat="1" applyFont="1" applyFill="1" applyBorder="1" applyAlignment="1">
      <alignment horizontal="right" vertical="distributed"/>
    </xf>
    <xf numFmtId="3" fontId="4" fillId="0" borderId="5" xfId="1" applyNumberFormat="1" applyFont="1" applyFill="1" applyBorder="1" applyAlignment="1">
      <alignment horizontal="right" vertical="distributed"/>
    </xf>
    <xf numFmtId="0" fontId="4" fillId="2" borderId="7" xfId="0" applyFont="1" applyFill="1" applyBorder="1" applyAlignment="1">
      <alignment vertical="center" wrapText="1"/>
    </xf>
    <xf numFmtId="3" fontId="4" fillId="2" borderId="6" xfId="1" applyNumberFormat="1" applyFont="1" applyFill="1" applyBorder="1" applyAlignment="1">
      <alignment horizontal="right" vertical="center"/>
    </xf>
    <xf numFmtId="0" fontId="4" fillId="0" borderId="11" xfId="0" applyFont="1" applyBorder="1" applyAlignment="1">
      <alignment horizontal="left" vertical="center" wrapText="1"/>
    </xf>
    <xf numFmtId="4" fontId="4" fillId="2" borderId="0" xfId="0" applyNumberFormat="1" applyFont="1" applyFill="1"/>
    <xf numFmtId="3" fontId="3" fillId="2" borderId="12" xfId="1" applyNumberFormat="1" applyFont="1" applyFill="1" applyBorder="1" applyAlignment="1">
      <alignment horizontal="right" vertical="distributed"/>
    </xf>
    <xf numFmtId="0" fontId="4" fillId="0" borderId="10" xfId="0" applyFont="1" applyBorder="1" applyAlignment="1">
      <alignment horizontal="left" vertical="center"/>
    </xf>
    <xf numFmtId="3" fontId="4" fillId="0" borderId="8" xfId="0" applyNumberFormat="1" applyFont="1" applyBorder="1"/>
    <xf numFmtId="3" fontId="3" fillId="2" borderId="6" xfId="1" applyNumberFormat="1" applyFont="1" applyFill="1" applyBorder="1" applyAlignment="1">
      <alignment horizontal="right" vertical="center"/>
    </xf>
    <xf numFmtId="0" fontId="15" fillId="4" borderId="2" xfId="0" applyFont="1" applyFill="1" applyBorder="1" applyAlignment="1">
      <alignment horizontal="center"/>
    </xf>
    <xf numFmtId="9" fontId="3" fillId="4" borderId="14" xfId="2" applyFont="1" applyFill="1" applyBorder="1" applyAlignment="1">
      <alignment horizontal="right" vertical="distributed"/>
    </xf>
    <xf numFmtId="49" fontId="22" fillId="0" borderId="6" xfId="0" applyNumberFormat="1" applyFont="1" applyBorder="1" applyAlignment="1">
      <alignment wrapText="1"/>
    </xf>
    <xf numFmtId="0" fontId="28" fillId="0" borderId="0" xfId="0" applyFont="1"/>
    <xf numFmtId="3" fontId="4" fillId="0" borderId="13" xfId="1" applyNumberFormat="1" applyFont="1" applyFill="1" applyBorder="1" applyAlignment="1">
      <alignment horizontal="right" vertical="distributed"/>
    </xf>
    <xf numFmtId="3" fontId="4" fillId="2" borderId="6" xfId="2" applyNumberFormat="1" applyFont="1" applyFill="1" applyBorder="1" applyAlignment="1">
      <alignment horizontal="right" vertical="distributed"/>
    </xf>
    <xf numFmtId="3" fontId="4" fillId="2" borderId="12" xfId="1" applyNumberFormat="1" applyFont="1" applyFill="1" applyBorder="1" applyAlignment="1">
      <alignment horizontal="right" vertical="distributed"/>
    </xf>
    <xf numFmtId="3" fontId="3" fillId="2" borderId="5" xfId="1" applyNumberFormat="1" applyFont="1" applyFill="1" applyBorder="1" applyAlignment="1">
      <alignment horizontal="right" vertical="distributed"/>
    </xf>
    <xf numFmtId="3" fontId="3" fillId="5" borderId="6" xfId="1" applyNumberFormat="1" applyFont="1" applyFill="1" applyBorder="1" applyAlignment="1">
      <alignment horizontal="right" vertical="distributed"/>
    </xf>
    <xf numFmtId="0" fontId="3" fillId="4" borderId="3" xfId="0" applyFont="1" applyFill="1" applyBorder="1" applyAlignment="1">
      <alignment vertical="center" wrapText="1"/>
    </xf>
    <xf numFmtId="0" fontId="10" fillId="4" borderId="23" xfId="0" applyFont="1" applyFill="1" applyBorder="1" applyAlignment="1">
      <alignment horizontal="center"/>
    </xf>
    <xf numFmtId="0" fontId="3" fillId="4" borderId="2" xfId="0" applyFont="1" applyFill="1" applyBorder="1" applyAlignment="1">
      <alignment horizontal="left" vertical="center"/>
    </xf>
    <xf numFmtId="3" fontId="3" fillId="4" borderId="3" xfId="0" applyNumberFormat="1" applyFont="1" applyFill="1" applyBorder="1" applyAlignment="1">
      <alignment vertical="center"/>
    </xf>
    <xf numFmtId="0" fontId="3" fillId="4" borderId="2" xfId="0" applyFont="1" applyFill="1" applyBorder="1" applyAlignment="1">
      <alignment vertical="center" wrapText="1"/>
    </xf>
    <xf numFmtId="3" fontId="3" fillId="4" borderId="4" xfId="0" applyNumberFormat="1" applyFont="1" applyFill="1" applyBorder="1" applyAlignment="1">
      <alignment vertical="center"/>
    </xf>
    <xf numFmtId="3" fontId="3" fillId="4" borderId="4" xfId="1" applyNumberFormat="1" applyFont="1" applyFill="1" applyBorder="1" applyAlignment="1">
      <alignment horizontal="right" vertical="center"/>
    </xf>
    <xf numFmtId="0" fontId="3" fillId="0" borderId="11" xfId="0" applyFont="1" applyBorder="1" applyAlignment="1">
      <alignment horizontal="center"/>
    </xf>
    <xf numFmtId="9" fontId="3" fillId="2" borderId="27" xfId="2" applyFont="1" applyFill="1" applyBorder="1" applyAlignment="1">
      <alignment horizontal="right" vertical="distributed"/>
    </xf>
    <xf numFmtId="0" fontId="3" fillId="0" borderId="7" xfId="0" applyFont="1" applyBorder="1" applyAlignment="1">
      <alignment horizontal="center"/>
    </xf>
    <xf numFmtId="0" fontId="4" fillId="0" borderId="7" xfId="0" applyFont="1" applyBorder="1" applyAlignment="1">
      <alignment horizontal="center"/>
    </xf>
    <xf numFmtId="9" fontId="4" fillId="2" borderId="27" xfId="2" applyFont="1" applyFill="1" applyBorder="1" applyAlignment="1">
      <alignment horizontal="right" vertical="distributed"/>
    </xf>
    <xf numFmtId="0" fontId="8" fillId="5" borderId="7" xfId="0" applyFont="1" applyFill="1" applyBorder="1" applyAlignment="1">
      <alignment horizontal="center"/>
    </xf>
    <xf numFmtId="3" fontId="3" fillId="0" borderId="0" xfId="0" applyNumberFormat="1" applyFont="1"/>
    <xf numFmtId="4" fontId="4" fillId="2" borderId="6" xfId="1" applyNumberFormat="1" applyFont="1" applyFill="1" applyBorder="1" applyAlignment="1">
      <alignment horizontal="right" vertical="distributed"/>
    </xf>
    <xf numFmtId="0" fontId="25" fillId="4" borderId="3" xfId="0" applyFont="1" applyFill="1" applyBorder="1" applyAlignment="1">
      <alignment vertical="center" wrapText="1"/>
    </xf>
    <xf numFmtId="0" fontId="3" fillId="4" borderId="2" xfId="0" applyFont="1" applyFill="1" applyBorder="1" applyAlignment="1">
      <alignment horizontal="left" vertical="center" wrapText="1"/>
    </xf>
    <xf numFmtId="9" fontId="4" fillId="0" borderId="0" xfId="2" applyFont="1"/>
    <xf numFmtId="9" fontId="10" fillId="0" borderId="0" xfId="2" applyFont="1"/>
    <xf numFmtId="9" fontId="4" fillId="2" borderId="0" xfId="2" applyFont="1" applyFill="1"/>
    <xf numFmtId="9" fontId="20" fillId="0" borderId="0" xfId="2" applyFont="1"/>
    <xf numFmtId="4" fontId="4" fillId="0" borderId="0" xfId="0" applyNumberFormat="1" applyFont="1" applyAlignment="1">
      <alignment horizontal="left"/>
    </xf>
    <xf numFmtId="3" fontId="13" fillId="2" borderId="13" xfId="0" applyNumberFormat="1" applyFont="1" applyFill="1" applyBorder="1" applyAlignment="1">
      <alignment vertical="center"/>
    </xf>
    <xf numFmtId="3" fontId="13" fillId="2" borderId="1" xfId="0" applyNumberFormat="1" applyFont="1" applyFill="1" applyBorder="1" applyAlignment="1">
      <alignment vertical="center"/>
    </xf>
    <xf numFmtId="3" fontId="4" fillId="2" borderId="12" xfId="0" applyNumberFormat="1" applyFont="1" applyFill="1" applyBorder="1" applyAlignment="1">
      <alignment vertical="center"/>
    </xf>
    <xf numFmtId="3" fontId="5" fillId="2" borderId="6" xfId="1" applyNumberFormat="1" applyFont="1" applyFill="1" applyBorder="1" applyAlignment="1">
      <alignment horizontal="right" vertical="center"/>
    </xf>
    <xf numFmtId="3" fontId="4" fillId="0" borderId="15" xfId="0" applyNumberFormat="1" applyFont="1" applyBorder="1"/>
    <xf numFmtId="0" fontId="6" fillId="4" borderId="2" xfId="0" applyFont="1" applyFill="1" applyBorder="1" applyAlignment="1">
      <alignment vertical="center" wrapText="1"/>
    </xf>
    <xf numFmtId="3" fontId="18" fillId="4" borderId="3" xfId="0" applyNumberFormat="1" applyFont="1" applyFill="1" applyBorder="1" applyAlignment="1">
      <alignment vertical="center"/>
    </xf>
    <xf numFmtId="3" fontId="4" fillId="2" borderId="13" xfId="1" applyNumberFormat="1" applyFont="1" applyFill="1" applyBorder="1" applyAlignment="1">
      <alignment horizontal="right" vertical="distributed"/>
    </xf>
    <xf numFmtId="3" fontId="4" fillId="2" borderId="13" xfId="2" applyNumberFormat="1" applyFont="1" applyFill="1" applyBorder="1" applyAlignment="1">
      <alignment horizontal="right" vertical="distributed"/>
    </xf>
    <xf numFmtId="4" fontId="4" fillId="2" borderId="13" xfId="1" applyNumberFormat="1" applyFont="1" applyFill="1" applyBorder="1" applyAlignment="1">
      <alignment horizontal="right" vertical="distributed"/>
    </xf>
    <xf numFmtId="3" fontId="4" fillId="2" borderId="5" xfId="0" applyNumberFormat="1" applyFont="1" applyFill="1" applyBorder="1"/>
    <xf numFmtId="0" fontId="4" fillId="2" borderId="6" xfId="0" applyFont="1" applyFill="1" applyBorder="1" applyAlignment="1">
      <alignment wrapText="1"/>
    </xf>
    <xf numFmtId="166" fontId="4" fillId="2" borderId="0" xfId="0" applyNumberFormat="1" applyFont="1" applyFill="1"/>
    <xf numFmtId="4" fontId="4" fillId="2" borderId="6" xfId="0" applyNumberFormat="1" applyFont="1" applyFill="1" applyBorder="1" applyAlignment="1">
      <alignment vertical="center"/>
    </xf>
    <xf numFmtId="4" fontId="4" fillId="0" borderId="0" xfId="2" applyNumberFormat="1" applyFont="1"/>
    <xf numFmtId="4" fontId="4" fillId="2" borderId="0" xfId="2" applyNumberFormat="1" applyFont="1" applyFill="1"/>
    <xf numFmtId="4" fontId="20" fillId="0" borderId="0" xfId="2" applyNumberFormat="1" applyFont="1"/>
    <xf numFmtId="4" fontId="4" fillId="0" borderId="6" xfId="1" applyNumberFormat="1" applyFont="1" applyFill="1" applyBorder="1" applyAlignment="1">
      <alignment horizontal="right" vertical="distributed"/>
    </xf>
    <xf numFmtId="10" fontId="4" fillId="0" borderId="0" xfId="0" applyNumberFormat="1" applyFont="1"/>
    <xf numFmtId="10" fontId="3" fillId="2" borderId="12" xfId="2" applyNumberFormat="1" applyFont="1" applyFill="1" applyBorder="1" applyAlignment="1">
      <alignment horizontal="right" vertical="center"/>
    </xf>
    <xf numFmtId="10" fontId="4" fillId="2" borderId="12" xfId="2" applyNumberFormat="1" applyFont="1" applyFill="1" applyBorder="1" applyAlignment="1">
      <alignment horizontal="right" vertical="center"/>
    </xf>
    <xf numFmtId="10" fontId="4" fillId="2" borderId="6" xfId="2" applyNumberFormat="1" applyFont="1" applyFill="1" applyBorder="1" applyAlignment="1">
      <alignment horizontal="right" vertical="center"/>
    </xf>
    <xf numFmtId="10" fontId="3" fillId="4" borderId="3" xfId="0" applyNumberFormat="1" applyFont="1" applyFill="1" applyBorder="1" applyAlignment="1">
      <alignment vertical="center"/>
    </xf>
    <xf numFmtId="10" fontId="3" fillId="4" borderId="4" xfId="0" applyNumberFormat="1" applyFont="1" applyFill="1" applyBorder="1" applyAlignment="1">
      <alignment vertical="center"/>
    </xf>
    <xf numFmtId="0" fontId="8" fillId="4" borderId="2" xfId="0" applyFont="1" applyFill="1" applyBorder="1" applyAlignment="1">
      <alignment horizontal="center"/>
    </xf>
    <xf numFmtId="3" fontId="3" fillId="4" borderId="3" xfId="1" applyNumberFormat="1" applyFont="1" applyFill="1" applyBorder="1" applyAlignment="1">
      <alignment horizontal="right" vertical="distributed"/>
    </xf>
    <xf numFmtId="38" fontId="35" fillId="2" borderId="6" xfId="1" applyNumberFormat="1" applyFont="1" applyFill="1" applyBorder="1" applyAlignment="1">
      <alignment horizontal="right" vertical="distributed"/>
    </xf>
    <xf numFmtId="38" fontId="35" fillId="2" borderId="6" xfId="2" applyNumberFormat="1" applyFont="1" applyFill="1" applyBorder="1" applyAlignment="1">
      <alignment horizontal="right" vertical="distributed"/>
    </xf>
    <xf numFmtId="3" fontId="35" fillId="2" borderId="13" xfId="1" applyNumberFormat="1" applyFont="1" applyFill="1" applyBorder="1" applyAlignment="1">
      <alignment horizontal="right" vertical="distributed"/>
    </xf>
    <xf numFmtId="3" fontId="21" fillId="2" borderId="6" xfId="1" applyNumberFormat="1" applyFont="1" applyFill="1" applyBorder="1" applyAlignment="1">
      <alignment horizontal="right" vertical="distributed"/>
    </xf>
    <xf numFmtId="165" fontId="35" fillId="2" borderId="6" xfId="1" applyNumberFormat="1" applyFont="1" applyFill="1" applyBorder="1" applyAlignment="1">
      <alignment horizontal="right" vertical="distributed"/>
    </xf>
    <xf numFmtId="3" fontId="35" fillId="2" borderId="6" xfId="1" applyNumberFormat="1" applyFont="1" applyFill="1" applyBorder="1" applyAlignment="1">
      <alignment horizontal="right" vertical="distributed"/>
    </xf>
    <xf numFmtId="3" fontId="35" fillId="2" borderId="5" xfId="1" applyNumberFormat="1" applyFont="1" applyFill="1" applyBorder="1" applyAlignment="1">
      <alignment horizontal="right" vertical="distributed"/>
    </xf>
    <xf numFmtId="165" fontId="35" fillId="2" borderId="5" xfId="1" applyNumberFormat="1" applyFont="1" applyFill="1" applyBorder="1" applyAlignment="1">
      <alignment horizontal="right" vertical="distributed"/>
    </xf>
    <xf numFmtId="38" fontId="35" fillId="2" borderId="5" xfId="1" applyNumberFormat="1" applyFont="1" applyFill="1" applyBorder="1" applyAlignment="1">
      <alignment horizontal="right" vertical="distributed"/>
    </xf>
    <xf numFmtId="3" fontId="21" fillId="5" borderId="6" xfId="1" applyNumberFormat="1" applyFont="1" applyFill="1" applyBorder="1" applyAlignment="1">
      <alignment horizontal="right" vertical="distributed"/>
    </xf>
    <xf numFmtId="3" fontId="21" fillId="2" borderId="5" xfId="1" applyNumberFormat="1" applyFont="1" applyFill="1" applyBorder="1" applyAlignment="1">
      <alignment horizontal="right" vertical="distributed"/>
    </xf>
    <xf numFmtId="9" fontId="3" fillId="5" borderId="27" xfId="2" applyFont="1" applyFill="1" applyBorder="1" applyAlignment="1">
      <alignment horizontal="right" vertical="distributed"/>
    </xf>
    <xf numFmtId="3" fontId="21" fillId="6" borderId="3" xfId="1" applyNumberFormat="1" applyFont="1" applyFill="1" applyBorder="1" applyAlignment="1">
      <alignment horizontal="right" vertical="distributed"/>
    </xf>
    <xf numFmtId="167" fontId="4" fillId="0" borderId="0" xfId="2" applyNumberFormat="1" applyFont="1"/>
    <xf numFmtId="0" fontId="4" fillId="0" borderId="11" xfId="3" applyBorder="1" applyAlignment="1">
      <alignment horizontal="center"/>
    </xf>
    <xf numFmtId="0" fontId="22" fillId="0" borderId="12" xfId="3" applyFont="1" applyBorder="1" applyAlignment="1">
      <alignment vertical="center"/>
    </xf>
    <xf numFmtId="4" fontId="3" fillId="0" borderId="12" xfId="3" applyNumberFormat="1" applyFont="1" applyBorder="1" applyAlignment="1">
      <alignment horizontal="right" vertical="center" wrapText="1"/>
    </xf>
    <xf numFmtId="4" fontId="4" fillId="0" borderId="12" xfId="3" applyNumberFormat="1" applyBorder="1" applyAlignment="1">
      <alignment horizontal="right" vertical="center" wrapText="1"/>
    </xf>
    <xf numFmtId="4" fontId="4" fillId="0" borderId="13" xfId="3" applyNumberFormat="1" applyBorder="1" applyAlignment="1">
      <alignment horizontal="right" vertical="center" wrapText="1"/>
    </xf>
    <xf numFmtId="4" fontId="4" fillId="0" borderId="27" xfId="3" applyNumberFormat="1" applyBorder="1" applyAlignment="1">
      <alignment horizontal="right" vertical="center" wrapText="1"/>
    </xf>
    <xf numFmtId="0" fontId="4" fillId="0" borderId="7" xfId="3" applyBorder="1" applyAlignment="1">
      <alignment horizontal="center"/>
    </xf>
    <xf numFmtId="0" fontId="22" fillId="0" borderId="6" xfId="3" applyFont="1" applyBorder="1" applyAlignment="1">
      <alignment vertical="center"/>
    </xf>
    <xf numFmtId="4" fontId="4" fillId="0" borderId="6" xfId="3" applyNumberFormat="1" applyBorder="1" applyAlignment="1">
      <alignment horizontal="right" vertical="center" wrapText="1"/>
    </xf>
    <xf numFmtId="4" fontId="4" fillId="0" borderId="5" xfId="3" applyNumberFormat="1" applyBorder="1" applyAlignment="1">
      <alignment horizontal="right" vertical="center" wrapText="1"/>
    </xf>
    <xf numFmtId="4" fontId="4" fillId="0" borderId="30" xfId="3" applyNumberFormat="1" applyBorder="1" applyAlignment="1">
      <alignment horizontal="right" vertical="center" wrapText="1"/>
    </xf>
    <xf numFmtId="3" fontId="22" fillId="0" borderId="6" xfId="3" applyNumberFormat="1" applyFont="1" applyBorder="1" applyAlignment="1">
      <alignment vertical="center"/>
    </xf>
    <xf numFmtId="0" fontId="22" fillId="0" borderId="8" xfId="3" applyFont="1" applyBorder="1" applyAlignment="1">
      <alignment vertical="center"/>
    </xf>
    <xf numFmtId="4" fontId="4" fillId="0" borderId="8" xfId="3" applyNumberFormat="1" applyBorder="1" applyAlignment="1">
      <alignment horizontal="right" vertical="center" wrapText="1"/>
    </xf>
    <xf numFmtId="4" fontId="4" fillId="0" borderId="9" xfId="3" applyNumberFormat="1" applyBorder="1" applyAlignment="1">
      <alignment horizontal="right" vertical="center" wrapText="1"/>
    </xf>
    <xf numFmtId="0" fontId="3" fillId="0" borderId="3" xfId="3" applyFont="1" applyBorder="1" applyAlignment="1">
      <alignment vertical="center"/>
    </xf>
    <xf numFmtId="4" fontId="3" fillId="0" borderId="3" xfId="3" applyNumberFormat="1" applyFont="1" applyBorder="1"/>
    <xf numFmtId="4" fontId="4" fillId="2" borderId="30" xfId="3" applyNumberFormat="1" applyFill="1" applyBorder="1" applyAlignment="1">
      <alignment horizontal="right" vertical="center" wrapText="1"/>
    </xf>
    <xf numFmtId="4" fontId="3" fillId="0" borderId="0" xfId="0" applyNumberFormat="1" applyFont="1"/>
    <xf numFmtId="49" fontId="31" fillId="2" borderId="0" xfId="0" applyNumberFormat="1" applyFont="1" applyFill="1" applyAlignment="1">
      <alignment horizontal="left" wrapText="1"/>
    </xf>
    <xf numFmtId="0" fontId="30" fillId="2" borderId="0" xfId="0" applyFont="1" applyFill="1"/>
    <xf numFmtId="4" fontId="30" fillId="2" borderId="0" xfId="0" applyNumberFormat="1" applyFont="1" applyFill="1"/>
    <xf numFmtId="4" fontId="35" fillId="2" borderId="6" xfId="0" applyNumberFormat="1" applyFont="1" applyFill="1" applyBorder="1"/>
    <xf numFmtId="3" fontId="35" fillId="2" borderId="6" xfId="1" applyNumberFormat="1" applyFont="1" applyFill="1" applyBorder="1" applyAlignment="1">
      <alignment horizontal="right" vertical="center"/>
    </xf>
    <xf numFmtId="3" fontId="21" fillId="2" borderId="6" xfId="1" applyNumberFormat="1" applyFont="1" applyFill="1" applyBorder="1" applyAlignment="1">
      <alignment horizontal="right" vertical="center"/>
    </xf>
    <xf numFmtId="0" fontId="4" fillId="0" borderId="11" xfId="3" applyBorder="1" applyAlignment="1">
      <alignment horizontal="center" vertical="top"/>
    </xf>
    <xf numFmtId="0" fontId="4" fillId="0" borderId="7" xfId="3" applyBorder="1" applyAlignment="1">
      <alignment horizontal="center" vertical="top"/>
    </xf>
    <xf numFmtId="4" fontId="3" fillId="2" borderId="12" xfId="3" applyNumberFormat="1" applyFont="1" applyFill="1" applyBorder="1" applyAlignment="1">
      <alignment horizontal="right" vertical="center" wrapText="1"/>
    </xf>
    <xf numFmtId="4" fontId="4" fillId="2" borderId="6" xfId="3" applyNumberFormat="1" applyFill="1" applyBorder="1" applyAlignment="1">
      <alignment horizontal="right" vertical="center" wrapText="1"/>
    </xf>
    <xf numFmtId="4" fontId="4" fillId="2" borderId="5" xfId="3" applyNumberFormat="1" applyFill="1" applyBorder="1" applyAlignment="1">
      <alignment horizontal="right" vertical="center" wrapText="1"/>
    </xf>
    <xf numFmtId="4" fontId="4" fillId="2" borderId="8" xfId="3" applyNumberFormat="1" applyFill="1" applyBorder="1" applyAlignment="1">
      <alignment horizontal="right" vertical="center" wrapText="1"/>
    </xf>
    <xf numFmtId="4" fontId="4" fillId="2" borderId="9" xfId="3" applyNumberFormat="1" applyFill="1" applyBorder="1" applyAlignment="1">
      <alignment horizontal="right" vertical="center" wrapText="1"/>
    </xf>
    <xf numFmtId="4" fontId="4" fillId="2" borderId="31" xfId="3" applyNumberFormat="1" applyFill="1" applyBorder="1" applyAlignment="1">
      <alignment horizontal="right" vertical="center" wrapText="1"/>
    </xf>
    <xf numFmtId="0" fontId="4" fillId="0" borderId="2" xfId="3" applyBorder="1" applyAlignment="1">
      <alignment horizontal="center" vertical="top"/>
    </xf>
    <xf numFmtId="0" fontId="3" fillId="0" borderId="0" xfId="3" applyFont="1" applyAlignment="1">
      <alignment horizontal="left" vertical="top"/>
    </xf>
    <xf numFmtId="0" fontId="3" fillId="0" borderId="0" xfId="3" applyFont="1" applyAlignment="1">
      <alignment wrapText="1"/>
    </xf>
    <xf numFmtId="4" fontId="3" fillId="0" borderId="0" xfId="3" applyNumberFormat="1" applyFont="1"/>
    <xf numFmtId="4" fontId="4" fillId="0" borderId="0" xfId="3" applyNumberFormat="1"/>
    <xf numFmtId="4" fontId="3" fillId="0" borderId="0" xfId="3" applyNumberFormat="1" applyFont="1" applyAlignment="1">
      <alignment horizontal="right"/>
    </xf>
    <xf numFmtId="0" fontId="35" fillId="0" borderId="0" xfId="0" applyFont="1"/>
    <xf numFmtId="0" fontId="4" fillId="0" borderId="0" xfId="3" applyAlignment="1">
      <alignment horizontal="center" vertical="top"/>
    </xf>
    <xf numFmtId="0" fontId="3" fillId="0" borderId="0" xfId="3" applyFont="1" applyAlignment="1">
      <alignment horizontal="left" wrapText="1"/>
    </xf>
    <xf numFmtId="0" fontId="4" fillId="0" borderId="0" xfId="3"/>
    <xf numFmtId="4" fontId="3" fillId="0" borderId="0" xfId="3" applyNumberFormat="1" applyFont="1" applyAlignment="1">
      <alignment horizontal="center"/>
    </xf>
    <xf numFmtId="0" fontId="3" fillId="0" borderId="0" xfId="3" applyFont="1" applyAlignment="1">
      <alignment vertical="center"/>
    </xf>
    <xf numFmtId="3" fontId="35" fillId="0" borderId="0" xfId="0" applyNumberFormat="1" applyFont="1"/>
    <xf numFmtId="4" fontId="41" fillId="0" borderId="0" xfId="3" applyNumberFormat="1" applyFont="1"/>
    <xf numFmtId="0" fontId="3" fillId="0" borderId="2" xfId="3" applyFont="1" applyBorder="1" applyAlignment="1">
      <alignment horizontal="center" vertical="top"/>
    </xf>
    <xf numFmtId="3" fontId="3" fillId="0" borderId="16" xfId="3" applyNumberFormat="1" applyFont="1" applyBorder="1" applyAlignment="1">
      <alignment vertical="center" wrapText="1"/>
    </xf>
    <xf numFmtId="4" fontId="3" fillId="0" borderId="3" xfId="3" applyNumberFormat="1" applyFont="1" applyBorder="1" applyAlignment="1">
      <alignment horizontal="right" vertical="center" wrapText="1"/>
    </xf>
    <xf numFmtId="4" fontId="3" fillId="0" borderId="14" xfId="3" applyNumberFormat="1" applyFont="1" applyBorder="1" applyAlignment="1">
      <alignment horizontal="right" vertical="center" wrapText="1"/>
    </xf>
    <xf numFmtId="0" fontId="4" fillId="2" borderId="19" xfId="3" applyFill="1" applyBorder="1" applyAlignment="1">
      <alignment horizontal="center" vertical="top"/>
    </xf>
    <xf numFmtId="0" fontId="4" fillId="2" borderId="20" xfId="0" applyFont="1" applyFill="1" applyBorder="1" applyAlignment="1">
      <alignment horizontal="left" vertical="center" wrapText="1"/>
    </xf>
    <xf numFmtId="4" fontId="3" fillId="2" borderId="20" xfId="3" applyNumberFormat="1" applyFont="1" applyFill="1" applyBorder="1" applyAlignment="1">
      <alignment horizontal="right" vertical="center" wrapText="1"/>
    </xf>
    <xf numFmtId="4" fontId="4" fillId="2" borderId="20" xfId="3" applyNumberFormat="1" applyFill="1" applyBorder="1" applyAlignment="1">
      <alignment horizontal="right" vertical="center" wrapText="1"/>
    </xf>
    <xf numFmtId="4" fontId="4" fillId="2" borderId="20" xfId="3" applyNumberFormat="1" applyFill="1" applyBorder="1" applyAlignment="1">
      <alignment vertical="center"/>
    </xf>
    <xf numFmtId="4" fontId="4" fillId="2" borderId="28" xfId="3" applyNumberFormat="1" applyFill="1" applyBorder="1" applyAlignment="1">
      <alignment vertical="center"/>
    </xf>
    <xf numFmtId="0" fontId="4" fillId="2" borderId="7" xfId="3" applyFill="1" applyBorder="1" applyAlignment="1">
      <alignment horizontal="center" vertical="top"/>
    </xf>
    <xf numFmtId="0" fontId="4" fillId="2" borderId="6" xfId="0" applyFont="1" applyFill="1" applyBorder="1" applyAlignment="1">
      <alignment horizontal="left" vertical="center" wrapText="1"/>
    </xf>
    <xf numFmtId="4" fontId="3" fillId="2" borderId="6" xfId="3" applyNumberFormat="1" applyFont="1" applyFill="1" applyBorder="1" applyAlignment="1">
      <alignment horizontal="right" vertical="center" wrapText="1"/>
    </xf>
    <xf numFmtId="4" fontId="4" fillId="2" borderId="6" xfId="3" applyNumberFormat="1" applyFill="1" applyBorder="1" applyAlignment="1">
      <alignment vertical="center"/>
    </xf>
    <xf numFmtId="4" fontId="4" fillId="2" borderId="30" xfId="3" applyNumberFormat="1" applyFill="1" applyBorder="1" applyAlignment="1">
      <alignment vertical="center"/>
    </xf>
    <xf numFmtId="0" fontId="35" fillId="2" borderId="6" xfId="0" applyFont="1" applyFill="1" applyBorder="1"/>
    <xf numFmtId="0" fontId="35" fillId="2" borderId="30" xfId="0" applyFont="1" applyFill="1" applyBorder="1"/>
    <xf numFmtId="0" fontId="4" fillId="2" borderId="32" xfId="3" applyFill="1" applyBorder="1" applyAlignment="1">
      <alignment horizontal="center" vertical="top"/>
    </xf>
    <xf numFmtId="0" fontId="4" fillId="2" borderId="33" xfId="0" applyFont="1" applyFill="1" applyBorder="1" applyAlignment="1">
      <alignment horizontal="left" vertical="center" wrapText="1"/>
    </xf>
    <xf numFmtId="4" fontId="3" fillId="2" borderId="33" xfId="3" applyNumberFormat="1" applyFont="1" applyFill="1" applyBorder="1" applyAlignment="1">
      <alignment horizontal="right" vertical="center" wrapText="1"/>
    </xf>
    <xf numFmtId="0" fontId="35" fillId="2" borderId="33" xfId="0" applyFont="1" applyFill="1" applyBorder="1"/>
    <xf numFmtId="0" fontId="35" fillId="2" borderId="34" xfId="0" applyFont="1" applyFill="1" applyBorder="1"/>
    <xf numFmtId="0" fontId="3" fillId="2" borderId="35" xfId="3" applyFont="1" applyFill="1" applyBorder="1" applyAlignment="1">
      <alignment horizontal="center" vertical="top"/>
    </xf>
    <xf numFmtId="3" fontId="3" fillId="2" borderId="36" xfId="3" applyNumberFormat="1" applyFont="1" applyFill="1" applyBorder="1" applyAlignment="1">
      <alignment vertical="center" wrapText="1"/>
    </xf>
    <xf numFmtId="4" fontId="3" fillId="2" borderId="15" xfId="3" applyNumberFormat="1" applyFont="1" applyFill="1" applyBorder="1" applyAlignment="1">
      <alignment horizontal="right" vertical="center" wrapText="1"/>
    </xf>
    <xf numFmtId="4" fontId="3" fillId="2" borderId="37" xfId="3" applyNumberFormat="1" applyFont="1" applyFill="1" applyBorder="1" applyAlignment="1">
      <alignment horizontal="right" vertical="center" wrapText="1"/>
    </xf>
    <xf numFmtId="0" fontId="4" fillId="2" borderId="20" xfId="0" applyFont="1" applyFill="1" applyBorder="1" applyAlignment="1">
      <alignment wrapText="1"/>
    </xf>
    <xf numFmtId="4" fontId="3" fillId="2" borderId="28" xfId="3" applyNumberFormat="1" applyFont="1" applyFill="1" applyBorder="1" applyAlignment="1">
      <alignment horizontal="right" vertical="center" wrapText="1"/>
    </xf>
    <xf numFmtId="0" fontId="4" fillId="2" borderId="6" xfId="0" applyFont="1" applyFill="1" applyBorder="1" applyAlignment="1">
      <alignment vertical="center" wrapText="1"/>
    </xf>
    <xf numFmtId="4" fontId="3" fillId="2" borderId="30" xfId="3" applyNumberFormat="1" applyFont="1" applyFill="1" applyBorder="1" applyAlignment="1">
      <alignment horizontal="right" vertical="center" wrapText="1"/>
    </xf>
    <xf numFmtId="0" fontId="42" fillId="2" borderId="6" xfId="0" applyFont="1" applyFill="1" applyBorder="1" applyAlignment="1">
      <alignment vertical="center" wrapText="1"/>
    </xf>
    <xf numFmtId="0" fontId="43" fillId="2" borderId="6" xfId="0" applyFont="1" applyFill="1" applyBorder="1" applyAlignment="1">
      <alignment vertical="center" wrapText="1"/>
    </xf>
    <xf numFmtId="0" fontId="42" fillId="2" borderId="6" xfId="0" applyFont="1" applyFill="1" applyBorder="1" applyAlignment="1">
      <alignment wrapText="1"/>
    </xf>
    <xf numFmtId="0" fontId="42" fillId="2" borderId="33" xfId="0" applyFont="1" applyFill="1" applyBorder="1" applyAlignment="1">
      <alignment wrapText="1"/>
    </xf>
    <xf numFmtId="4" fontId="4" fillId="2" borderId="33" xfId="3" applyNumberFormat="1" applyFill="1" applyBorder="1" applyAlignment="1">
      <alignment horizontal="right" vertical="center" wrapText="1"/>
    </xf>
    <xf numFmtId="4" fontId="3" fillId="2" borderId="34" xfId="3" applyNumberFormat="1" applyFont="1" applyFill="1" applyBorder="1" applyAlignment="1">
      <alignment horizontal="right" vertical="center" wrapText="1"/>
    </xf>
    <xf numFmtId="0" fontId="3" fillId="2" borderId="38" xfId="3" applyFont="1" applyFill="1" applyBorder="1" applyAlignment="1">
      <alignment horizontal="center" vertical="top"/>
    </xf>
    <xf numFmtId="3" fontId="3" fillId="2" borderId="39" xfId="3" applyNumberFormat="1" applyFont="1" applyFill="1" applyBorder="1" applyAlignment="1">
      <alignment horizontal="left" vertical="top" wrapText="1"/>
    </xf>
    <xf numFmtId="4" fontId="3" fillId="2" borderId="40" xfId="3" applyNumberFormat="1" applyFont="1" applyFill="1" applyBorder="1" applyAlignment="1">
      <alignment horizontal="right" vertical="center" wrapText="1"/>
    </xf>
    <xf numFmtId="4" fontId="3" fillId="2" borderId="29" xfId="3" applyNumberFormat="1" applyFont="1" applyFill="1" applyBorder="1" applyAlignment="1">
      <alignment horizontal="right" vertical="center" wrapText="1"/>
    </xf>
    <xf numFmtId="0" fontId="35" fillId="2" borderId="41" xfId="3" applyFont="1" applyFill="1" applyBorder="1" applyAlignment="1">
      <alignment horizontal="center" vertical="top"/>
    </xf>
    <xf numFmtId="0" fontId="35" fillId="2" borderId="20" xfId="0" applyFont="1" applyFill="1" applyBorder="1" applyAlignment="1">
      <alignment wrapText="1"/>
    </xf>
    <xf numFmtId="4" fontId="21" fillId="2" borderId="20" xfId="3" applyNumberFormat="1" applyFont="1" applyFill="1" applyBorder="1" applyAlignment="1">
      <alignment horizontal="right" vertical="center" wrapText="1"/>
    </xf>
    <xf numFmtId="4" fontId="35" fillId="2" borderId="20" xfId="3" applyNumberFormat="1" applyFont="1" applyFill="1" applyBorder="1" applyAlignment="1">
      <alignment horizontal="right" vertical="center" wrapText="1"/>
    </xf>
    <xf numFmtId="0" fontId="35" fillId="2" borderId="20" xfId="0" applyFont="1" applyFill="1" applyBorder="1"/>
    <xf numFmtId="0" fontId="35" fillId="2" borderId="42" xfId="0" applyFont="1" applyFill="1" applyBorder="1"/>
    <xf numFmtId="0" fontId="35" fillId="2" borderId="28" xfId="0" applyFont="1" applyFill="1" applyBorder="1"/>
    <xf numFmtId="0" fontId="35" fillId="2" borderId="21" xfId="3" applyFont="1" applyFill="1" applyBorder="1" applyAlignment="1">
      <alignment horizontal="center" vertical="top"/>
    </xf>
    <xf numFmtId="0" fontId="35" fillId="2" borderId="6" xfId="0" applyFont="1" applyFill="1" applyBorder="1" applyAlignment="1">
      <alignment wrapText="1"/>
    </xf>
    <xf numFmtId="4" fontId="21" fillId="2" borderId="12" xfId="3" applyNumberFormat="1" applyFont="1" applyFill="1" applyBorder="1" applyAlignment="1">
      <alignment horizontal="right" vertical="center" wrapText="1"/>
    </xf>
    <xf numFmtId="4" fontId="35" fillId="2" borderId="43" xfId="3" applyNumberFormat="1" applyFont="1" applyFill="1" applyBorder="1" applyAlignment="1">
      <alignment horizontal="right" vertical="center" wrapText="1"/>
    </xf>
    <xf numFmtId="4" fontId="35" fillId="2" borderId="6" xfId="3" applyNumberFormat="1" applyFont="1" applyFill="1" applyBorder="1" applyAlignment="1">
      <alignment horizontal="right" vertical="center" wrapText="1"/>
    </xf>
    <xf numFmtId="4" fontId="35" fillId="2" borderId="6" xfId="3" applyNumberFormat="1" applyFont="1" applyFill="1" applyBorder="1" applyAlignment="1">
      <alignment vertical="center"/>
    </xf>
    <xf numFmtId="4" fontId="35" fillId="2" borderId="5" xfId="3" applyNumberFormat="1" applyFont="1" applyFill="1" applyBorder="1" applyAlignment="1">
      <alignment vertical="center"/>
    </xf>
    <xf numFmtId="4" fontId="35" fillId="2" borderId="30" xfId="3" applyNumberFormat="1" applyFont="1" applyFill="1" applyBorder="1" applyAlignment="1">
      <alignment vertical="center"/>
    </xf>
    <xf numFmtId="0" fontId="35" fillId="2" borderId="5" xfId="0" applyFont="1" applyFill="1" applyBorder="1"/>
    <xf numFmtId="0" fontId="35" fillId="2" borderId="23" xfId="3" applyFont="1" applyFill="1" applyBorder="1" applyAlignment="1">
      <alignment horizontal="center" vertical="top"/>
    </xf>
    <xf numFmtId="0" fontId="35" fillId="2" borderId="33" xfId="0" applyFont="1" applyFill="1" applyBorder="1" applyAlignment="1">
      <alignment wrapText="1"/>
    </xf>
    <xf numFmtId="4" fontId="21" fillId="2" borderId="40" xfId="3" applyNumberFormat="1" applyFont="1" applyFill="1" applyBorder="1" applyAlignment="1">
      <alignment horizontal="right" vertical="center" wrapText="1"/>
    </xf>
    <xf numFmtId="4" fontId="35" fillId="2" borderId="44" xfId="3" applyNumberFormat="1" applyFont="1" applyFill="1" applyBorder="1" applyAlignment="1">
      <alignment horizontal="right" vertical="center" wrapText="1"/>
    </xf>
    <xf numFmtId="4" fontId="35" fillId="2" borderId="33" xfId="3" applyNumberFormat="1" applyFont="1" applyFill="1" applyBorder="1" applyAlignment="1">
      <alignment horizontal="right" vertical="center" wrapText="1"/>
    </xf>
    <xf numFmtId="4" fontId="35" fillId="2" borderId="33" xfId="3" applyNumberFormat="1" applyFont="1" applyFill="1" applyBorder="1" applyAlignment="1">
      <alignment vertical="center"/>
    </xf>
    <xf numFmtId="4" fontId="35" fillId="2" borderId="45" xfId="3" applyNumberFormat="1" applyFont="1" applyFill="1" applyBorder="1" applyAlignment="1">
      <alignment vertical="center"/>
    </xf>
    <xf numFmtId="4" fontId="35" fillId="2" borderId="34" xfId="3" applyNumberFormat="1" applyFont="1" applyFill="1" applyBorder="1" applyAlignment="1">
      <alignment vertical="center"/>
    </xf>
    <xf numFmtId="0" fontId="3" fillId="2" borderId="2" xfId="3" applyFont="1" applyFill="1" applyBorder="1" applyAlignment="1">
      <alignment horizontal="center" vertical="top"/>
    </xf>
    <xf numFmtId="3" fontId="3" fillId="2" borderId="16" xfId="3" applyNumberFormat="1" applyFont="1" applyFill="1" applyBorder="1" applyAlignment="1">
      <alignment horizontal="left" vertical="top" wrapText="1"/>
    </xf>
    <xf numFmtId="4" fontId="3" fillId="2" borderId="3" xfId="3" applyNumberFormat="1" applyFont="1" applyFill="1" applyBorder="1" applyAlignment="1">
      <alignment horizontal="right" vertical="center" wrapText="1"/>
    </xf>
    <xf numFmtId="4" fontId="3" fillId="2" borderId="14" xfId="3" applyNumberFormat="1" applyFont="1" applyFill="1" applyBorder="1" applyAlignment="1">
      <alignment horizontal="right" vertical="center" wrapText="1"/>
    </xf>
    <xf numFmtId="4" fontId="4" fillId="2" borderId="42" xfId="3" applyNumberFormat="1" applyFill="1" applyBorder="1" applyAlignment="1">
      <alignment vertical="center"/>
    </xf>
    <xf numFmtId="0" fontId="4" fillId="2" borderId="11" xfId="3" applyFill="1" applyBorder="1" applyAlignment="1">
      <alignment horizontal="center" vertical="top"/>
    </xf>
    <xf numFmtId="4" fontId="4" fillId="2" borderId="5" xfId="3" applyNumberFormat="1" applyFill="1" applyBorder="1" applyAlignment="1">
      <alignment vertical="center"/>
    </xf>
    <xf numFmtId="0" fontId="4" fillId="2" borderId="38" xfId="3" applyFill="1" applyBorder="1" applyAlignment="1">
      <alignment horizontal="center" vertical="top"/>
    </xf>
    <xf numFmtId="0" fontId="4" fillId="2" borderId="33" xfId="0" applyFont="1" applyFill="1" applyBorder="1" applyAlignment="1">
      <alignment wrapText="1"/>
    </xf>
    <xf numFmtId="4" fontId="4" fillId="2" borderId="33" xfId="3" applyNumberFormat="1" applyFill="1" applyBorder="1" applyAlignment="1">
      <alignment vertical="center"/>
    </xf>
    <xf numFmtId="4" fontId="4" fillId="2" borderId="45" xfId="3" applyNumberFormat="1" applyFill="1" applyBorder="1" applyAlignment="1">
      <alignment vertical="center"/>
    </xf>
    <xf numFmtId="4" fontId="4" fillId="2" borderId="34" xfId="3" applyNumberFormat="1" applyFill="1" applyBorder="1" applyAlignment="1">
      <alignment vertical="center"/>
    </xf>
    <xf numFmtId="4" fontId="4" fillId="2" borderId="12" xfId="3" applyNumberFormat="1" applyFill="1" applyBorder="1" applyAlignment="1">
      <alignment horizontal="right" vertical="center" wrapText="1"/>
    </xf>
    <xf numFmtId="4" fontId="4" fillId="2" borderId="40" xfId="3" applyNumberFormat="1" applyFill="1" applyBorder="1" applyAlignment="1">
      <alignment horizontal="right" vertical="center" wrapText="1"/>
    </xf>
    <xf numFmtId="3" fontId="3" fillId="2" borderId="3" xfId="3" applyNumberFormat="1" applyFont="1" applyFill="1" applyBorder="1" applyAlignment="1">
      <alignment horizontal="left" vertical="top" wrapText="1"/>
    </xf>
    <xf numFmtId="0" fontId="4" fillId="2" borderId="12" xfId="0" applyFont="1" applyFill="1" applyBorder="1" applyAlignment="1">
      <alignment horizontal="left" vertical="center" wrapText="1"/>
    </xf>
    <xf numFmtId="4" fontId="4" fillId="2" borderId="12" xfId="3" applyNumberFormat="1" applyFill="1" applyBorder="1" applyAlignment="1">
      <alignment vertical="center"/>
    </xf>
    <xf numFmtId="4" fontId="4" fillId="2" borderId="13" xfId="3" applyNumberFormat="1" applyFill="1" applyBorder="1" applyAlignment="1">
      <alignment vertical="center"/>
    </xf>
    <xf numFmtId="4" fontId="4" fillId="2" borderId="27" xfId="3" applyNumberFormat="1" applyFill="1" applyBorder="1" applyAlignment="1">
      <alignment vertical="center"/>
    </xf>
    <xf numFmtId="4" fontId="4" fillId="2" borderId="20" xfId="5" applyNumberFormat="1" applyFill="1" applyBorder="1" applyAlignment="1">
      <alignment horizontal="right" vertical="center" wrapText="1"/>
    </xf>
    <xf numFmtId="4" fontId="4" fillId="2" borderId="33" xfId="5" applyNumberFormat="1" applyFill="1" applyBorder="1" applyAlignment="1">
      <alignment horizontal="right" vertical="center" wrapText="1"/>
    </xf>
    <xf numFmtId="3" fontId="3" fillId="2" borderId="35" xfId="3" applyNumberFormat="1" applyFont="1" applyFill="1" applyBorder="1" applyAlignment="1">
      <alignment horizontal="left" vertical="top" wrapText="1"/>
    </xf>
    <xf numFmtId="0" fontId="35" fillId="2" borderId="19" xfId="3" applyFont="1" applyFill="1" applyBorder="1" applyAlignment="1">
      <alignment horizontal="center" vertical="top"/>
    </xf>
    <xf numFmtId="4" fontId="35" fillId="2" borderId="20" xfId="13" applyNumberFormat="1" applyFont="1" applyFill="1" applyBorder="1" applyAlignment="1">
      <alignment horizontal="left" vertical="center" wrapText="1"/>
    </xf>
    <xf numFmtId="4" fontId="21" fillId="2" borderId="28" xfId="3" applyNumberFormat="1" applyFont="1" applyFill="1" applyBorder="1" applyAlignment="1">
      <alignment horizontal="right" vertical="center" wrapText="1"/>
    </xf>
    <xf numFmtId="0" fontId="35" fillId="2" borderId="7" xfId="3" applyFont="1" applyFill="1" applyBorder="1" applyAlignment="1">
      <alignment horizontal="center" vertical="top"/>
    </xf>
    <xf numFmtId="0" fontId="35" fillId="2" borderId="6" xfId="13" applyFont="1" applyFill="1" applyBorder="1" applyAlignment="1">
      <alignment horizontal="left" vertical="center" wrapText="1"/>
    </xf>
    <xf numFmtId="4" fontId="21" fillId="2" borderId="6" xfId="3" applyNumberFormat="1" applyFont="1" applyFill="1" applyBorder="1" applyAlignment="1">
      <alignment horizontal="right" vertical="center" wrapText="1"/>
    </xf>
    <xf numFmtId="3" fontId="35" fillId="2" borderId="6" xfId="0" applyNumberFormat="1" applyFont="1" applyFill="1" applyBorder="1" applyAlignment="1">
      <alignment vertical="top" wrapText="1"/>
    </xf>
    <xf numFmtId="4" fontId="21" fillId="2" borderId="30" xfId="3" applyNumberFormat="1" applyFont="1" applyFill="1" applyBorder="1" applyAlignment="1">
      <alignment horizontal="right" vertical="center" wrapText="1"/>
    </xf>
    <xf numFmtId="4" fontId="35" fillId="2" borderId="6" xfId="0" applyNumberFormat="1" applyFont="1" applyFill="1" applyBorder="1" applyAlignment="1">
      <alignment vertical="top" wrapText="1"/>
    </xf>
    <xf numFmtId="0" fontId="35" fillId="2" borderId="6" xfId="33" applyFont="1" applyFill="1" applyBorder="1" applyAlignment="1">
      <alignment horizontal="left" vertical="center" wrapText="1"/>
    </xf>
    <xf numFmtId="0" fontId="35" fillId="2" borderId="6" xfId="34" applyFont="1" applyFill="1" applyBorder="1" applyAlignment="1">
      <alignment horizontal="left" vertical="center" wrapText="1"/>
    </xf>
    <xf numFmtId="3" fontId="35" fillId="2" borderId="6" xfId="35" applyNumberFormat="1" applyFont="1" applyFill="1" applyBorder="1" applyAlignment="1">
      <alignment horizontal="left" vertical="center" wrapText="1"/>
    </xf>
    <xf numFmtId="3" fontId="35" fillId="2" borderId="6" xfId="13" applyNumberFormat="1" applyFont="1" applyFill="1" applyBorder="1" applyAlignment="1">
      <alignment horizontal="left" vertical="center" wrapText="1"/>
    </xf>
    <xf numFmtId="3" fontId="35" fillId="2" borderId="6" xfId="36" applyNumberFormat="1" applyFont="1" applyFill="1" applyBorder="1" applyAlignment="1">
      <alignment horizontal="left" vertical="center" wrapText="1"/>
    </xf>
    <xf numFmtId="0" fontId="35" fillId="2" borderId="6" xfId="37" applyFont="1" applyFill="1" applyBorder="1" applyAlignment="1">
      <alignment horizontal="left" vertical="center" wrapText="1"/>
    </xf>
    <xf numFmtId="0" fontId="35" fillId="2" borderId="6" xfId="38" applyFont="1" applyFill="1" applyBorder="1" applyAlignment="1">
      <alignment horizontal="left" vertical="center" wrapText="1"/>
    </xf>
    <xf numFmtId="0" fontId="35" fillId="2" borderId="6" xfId="39" applyFont="1" applyFill="1" applyBorder="1" applyAlignment="1">
      <alignment horizontal="left" vertical="center" wrapText="1"/>
    </xf>
    <xf numFmtId="0" fontId="35" fillId="2" borderId="6" xfId="40" applyFont="1" applyFill="1" applyBorder="1" applyAlignment="1">
      <alignment horizontal="left" vertical="center" wrapText="1"/>
    </xf>
    <xf numFmtId="0" fontId="35" fillId="2" borderId="32" xfId="3" applyFont="1" applyFill="1" applyBorder="1" applyAlignment="1">
      <alignment horizontal="center" vertical="top"/>
    </xf>
    <xf numFmtId="0" fontId="35" fillId="2" borderId="33" xfId="40" applyFont="1" applyFill="1" applyBorder="1" applyAlignment="1">
      <alignment horizontal="left" vertical="center" wrapText="1"/>
    </xf>
    <xf numFmtId="4" fontId="21" fillId="2" borderId="33" xfId="3" applyNumberFormat="1" applyFont="1" applyFill="1" applyBorder="1" applyAlignment="1">
      <alignment horizontal="right" vertical="center" wrapText="1"/>
    </xf>
    <xf numFmtId="3" fontId="35" fillId="2" borderId="33" xfId="0" applyNumberFormat="1" applyFont="1" applyFill="1" applyBorder="1" applyAlignment="1">
      <alignment vertical="top" wrapText="1"/>
    </xf>
    <xf numFmtId="4" fontId="21" fillId="2" borderId="34" xfId="3" applyNumberFormat="1" applyFont="1" applyFill="1" applyBorder="1" applyAlignment="1">
      <alignment horizontal="right" vertical="center" wrapText="1"/>
    </xf>
    <xf numFmtId="3" fontId="3" fillId="2" borderId="40" xfId="3" applyNumberFormat="1" applyFont="1" applyFill="1" applyBorder="1" applyAlignment="1">
      <alignment horizontal="left" vertical="top" wrapText="1"/>
    </xf>
    <xf numFmtId="3" fontId="4" fillId="2" borderId="15" xfId="3" applyNumberFormat="1" applyFill="1" applyBorder="1" applyAlignment="1">
      <alignment horizontal="left" vertical="top" wrapText="1"/>
    </xf>
    <xf numFmtId="0" fontId="4" fillId="2" borderId="6" xfId="3" applyFill="1" applyBorder="1" applyAlignment="1">
      <alignment horizontal="center" vertical="top"/>
    </xf>
    <xf numFmtId="3" fontId="4" fillId="2" borderId="6" xfId="3" applyNumberFormat="1" applyFill="1" applyBorder="1" applyAlignment="1">
      <alignment horizontal="left" vertical="top" wrapText="1"/>
    </xf>
    <xf numFmtId="0" fontId="4" fillId="2" borderId="12" xfId="3" applyFill="1" applyBorder="1" applyAlignment="1">
      <alignment horizontal="center" vertical="top"/>
    </xf>
    <xf numFmtId="3" fontId="4" fillId="2" borderId="8" xfId="3" applyNumberFormat="1" applyFill="1" applyBorder="1" applyAlignment="1">
      <alignment horizontal="left" vertical="top" wrapText="1"/>
    </xf>
    <xf numFmtId="0" fontId="35" fillId="2" borderId="12" xfId="0" applyFont="1" applyFill="1" applyBorder="1"/>
    <xf numFmtId="0" fontId="3" fillId="2" borderId="17" xfId="3" applyFont="1" applyFill="1" applyBorder="1" applyAlignment="1">
      <alignment horizontal="center" vertical="top"/>
    </xf>
    <xf numFmtId="3" fontId="3" fillId="2" borderId="46" xfId="3" applyNumberFormat="1" applyFont="1" applyFill="1" applyBorder="1" applyAlignment="1">
      <alignment horizontal="left" vertical="top" wrapText="1"/>
    </xf>
    <xf numFmtId="4" fontId="3" fillId="2" borderId="18" xfId="3" applyNumberFormat="1" applyFont="1" applyFill="1" applyBorder="1" applyAlignment="1">
      <alignment horizontal="right" vertical="center" wrapText="1"/>
    </xf>
    <xf numFmtId="4" fontId="3" fillId="2" borderId="26" xfId="3" applyNumberFormat="1" applyFont="1" applyFill="1" applyBorder="1" applyAlignment="1">
      <alignment horizontal="right" vertical="center" wrapText="1"/>
    </xf>
    <xf numFmtId="3" fontId="3" fillId="2" borderId="20" xfId="3" applyNumberFormat="1" applyFont="1" applyFill="1" applyBorder="1" applyAlignment="1">
      <alignment horizontal="left" vertical="top" wrapText="1"/>
    </xf>
    <xf numFmtId="0" fontId="42" fillId="2" borderId="6" xfId="0" applyFont="1" applyFill="1" applyBorder="1" applyAlignment="1">
      <alignment horizontal="left" vertical="center" wrapText="1"/>
    </xf>
    <xf numFmtId="4" fontId="41" fillId="2" borderId="6" xfId="3" applyNumberFormat="1" applyFont="1" applyFill="1" applyBorder="1" applyAlignment="1">
      <alignment horizontal="right" vertical="center" wrapText="1"/>
    </xf>
    <xf numFmtId="3" fontId="3" fillId="2" borderId="6" xfId="3" applyNumberFormat="1" applyFont="1" applyFill="1" applyBorder="1" applyAlignment="1">
      <alignment horizontal="left" vertical="top" wrapText="1"/>
    </xf>
    <xf numFmtId="0" fontId="4" fillId="2" borderId="6" xfId="3" applyFill="1" applyBorder="1" applyAlignment="1">
      <alignment vertical="center"/>
    </xf>
    <xf numFmtId="2" fontId="4" fillId="2" borderId="6" xfId="3" applyNumberFormat="1" applyFill="1" applyBorder="1" applyAlignment="1">
      <alignment vertical="center"/>
    </xf>
    <xf numFmtId="0" fontId="4" fillId="2" borderId="30" xfId="3" applyFill="1" applyBorder="1" applyAlignment="1">
      <alignment vertical="center"/>
    </xf>
    <xf numFmtId="0" fontId="35" fillId="2" borderId="6" xfId="0" applyFont="1" applyFill="1" applyBorder="1" applyAlignment="1">
      <alignment horizontal="left" vertical="center" wrapText="1"/>
    </xf>
    <xf numFmtId="4" fontId="4" fillId="2" borderId="6" xfId="3" applyNumberFormat="1" applyFill="1" applyBorder="1" applyAlignment="1">
      <alignment horizontal="left"/>
    </xf>
    <xf numFmtId="2" fontId="35" fillId="0" borderId="0" xfId="0" applyNumberFormat="1" applyFont="1"/>
    <xf numFmtId="0" fontId="11" fillId="2" borderId="6" xfId="4" applyFill="1" applyBorder="1" applyAlignment="1">
      <alignment horizontal="left" vertical="top" wrapText="1"/>
    </xf>
    <xf numFmtId="0" fontId="11" fillId="2" borderId="6" xfId="4" applyFill="1" applyBorder="1" applyAlignment="1">
      <alignment vertical="top" wrapText="1"/>
    </xf>
    <xf numFmtId="0" fontId="4" fillId="2" borderId="6" xfId="0" applyFont="1" applyFill="1" applyBorder="1" applyAlignment="1">
      <alignment vertical="top" wrapText="1"/>
    </xf>
    <xf numFmtId="0" fontId="4" fillId="2" borderId="6" xfId="0" applyFont="1" applyFill="1" applyBorder="1" applyAlignment="1">
      <alignment horizontal="left" vertical="top" wrapText="1"/>
    </xf>
    <xf numFmtId="2" fontId="4" fillId="2" borderId="6" xfId="0" applyNumberFormat="1" applyFont="1" applyFill="1" applyBorder="1" applyAlignment="1">
      <alignment horizontal="left" vertical="top" wrapText="1"/>
    </xf>
    <xf numFmtId="0" fontId="42" fillId="2" borderId="6" xfId="0" applyFont="1" applyFill="1" applyBorder="1" applyAlignment="1">
      <alignment horizontal="justify" vertical="center"/>
    </xf>
    <xf numFmtId="2" fontId="4" fillId="2" borderId="6" xfId="0" applyNumberFormat="1" applyFont="1" applyFill="1" applyBorder="1" applyAlignment="1">
      <alignment vertical="top" wrapText="1"/>
    </xf>
    <xf numFmtId="1" fontId="4" fillId="2" borderId="6" xfId="0" applyNumberFormat="1" applyFont="1" applyFill="1" applyBorder="1" applyAlignment="1">
      <alignment horizontal="left" vertical="top" wrapText="1"/>
    </xf>
    <xf numFmtId="2" fontId="4" fillId="2" borderId="33" xfId="0" applyNumberFormat="1" applyFont="1" applyFill="1" applyBorder="1" applyAlignment="1">
      <alignment horizontal="left" vertical="top" wrapText="1"/>
    </xf>
    <xf numFmtId="4" fontId="4" fillId="2" borderId="34" xfId="3" applyNumberFormat="1" applyFill="1" applyBorder="1" applyAlignment="1">
      <alignment horizontal="right" vertical="center" wrapText="1"/>
    </xf>
    <xf numFmtId="3" fontId="3" fillId="2" borderId="15" xfId="3" applyNumberFormat="1" applyFont="1" applyFill="1" applyBorder="1" applyAlignment="1">
      <alignment horizontal="left" vertical="top" wrapText="1"/>
    </xf>
    <xf numFmtId="4" fontId="3" fillId="2" borderId="1" xfId="3" applyNumberFormat="1" applyFont="1" applyFill="1" applyBorder="1" applyAlignment="1">
      <alignment horizontal="right" vertical="center" wrapText="1"/>
    </xf>
    <xf numFmtId="0" fontId="4" fillId="2" borderId="20" xfId="0" applyFont="1" applyFill="1" applyBorder="1" applyAlignment="1">
      <alignment vertical="center" wrapText="1"/>
    </xf>
    <xf numFmtId="4" fontId="4" fillId="2" borderId="6" xfId="3" applyNumberFormat="1" applyFill="1" applyBorder="1" applyAlignment="1">
      <alignment horizontal="right"/>
    </xf>
    <xf numFmtId="0" fontId="4" fillId="2" borderId="6" xfId="3" applyFill="1" applyBorder="1" applyAlignment="1">
      <alignment horizontal="left"/>
    </xf>
    <xf numFmtId="0" fontId="35" fillId="2" borderId="33" xfId="0" applyFont="1" applyFill="1" applyBorder="1" applyAlignment="1">
      <alignment horizontal="left" vertical="center" wrapText="1"/>
    </xf>
    <xf numFmtId="0" fontId="35" fillId="2" borderId="19" xfId="0" applyFont="1" applyFill="1" applyBorder="1" applyAlignment="1">
      <alignment vertical="top"/>
    </xf>
    <xf numFmtId="0" fontId="35" fillId="2" borderId="20" xfId="0" applyFont="1" applyFill="1" applyBorder="1" applyAlignment="1">
      <alignment horizontal="left" vertical="center" wrapText="1"/>
    </xf>
    <xf numFmtId="4" fontId="35" fillId="2" borderId="20" xfId="0" applyNumberFormat="1" applyFont="1" applyFill="1" applyBorder="1" applyAlignment="1">
      <alignment vertical="center"/>
    </xf>
    <xf numFmtId="4" fontId="35" fillId="2" borderId="28" xfId="3" applyNumberFormat="1" applyFont="1" applyFill="1" applyBorder="1" applyAlignment="1">
      <alignment horizontal="right" vertical="center" wrapText="1"/>
    </xf>
    <xf numFmtId="0" fontId="35" fillId="2" borderId="7" xfId="0" applyFont="1" applyFill="1" applyBorder="1" applyAlignment="1">
      <alignment vertical="top"/>
    </xf>
    <xf numFmtId="4" fontId="35" fillId="2" borderId="30" xfId="3" applyNumberFormat="1" applyFont="1" applyFill="1" applyBorder="1" applyAlignment="1">
      <alignment horizontal="right" vertical="center" wrapText="1"/>
    </xf>
    <xf numFmtId="4" fontId="35" fillId="2" borderId="6" xfId="0" applyNumberFormat="1" applyFont="1" applyFill="1" applyBorder="1" applyAlignment="1">
      <alignment vertical="center"/>
    </xf>
    <xf numFmtId="165" fontId="35" fillId="2" borderId="6" xfId="41" applyNumberFormat="1" applyFont="1" applyFill="1" applyBorder="1" applyAlignment="1">
      <alignment vertical="center" wrapText="1"/>
    </xf>
    <xf numFmtId="0" fontId="35" fillId="2" borderId="6" xfId="0" applyFont="1" applyFill="1" applyBorder="1" applyAlignment="1">
      <alignment vertical="center" wrapText="1"/>
    </xf>
    <xf numFmtId="0" fontId="35" fillId="2" borderId="6" xfId="0" applyFont="1" applyFill="1" applyBorder="1" applyAlignment="1">
      <alignment horizontal="left" wrapText="1"/>
    </xf>
    <xf numFmtId="9" fontId="35" fillId="2" borderId="6" xfId="2" applyFont="1" applyFill="1" applyBorder="1" applyAlignment="1">
      <alignment vertical="center" wrapText="1"/>
    </xf>
    <xf numFmtId="4" fontId="35" fillId="2" borderId="6" xfId="3" applyNumberFormat="1" applyFont="1" applyFill="1" applyBorder="1" applyAlignment="1">
      <alignment horizontal="right" vertical="center"/>
    </xf>
    <xf numFmtId="0" fontId="35" fillId="2" borderId="6" xfId="3" applyFont="1" applyFill="1" applyBorder="1" applyAlignment="1">
      <alignment horizontal="left" vertical="top" wrapText="1"/>
    </xf>
    <xf numFmtId="0" fontId="35" fillId="2" borderId="32" xfId="0" applyFont="1" applyFill="1" applyBorder="1" applyAlignment="1">
      <alignment vertical="top"/>
    </xf>
    <xf numFmtId="9" fontId="35" fillId="2" borderId="33" xfId="2" applyFont="1" applyFill="1" applyBorder="1" applyAlignment="1">
      <alignment vertical="center" wrapText="1"/>
    </xf>
    <xf numFmtId="4" fontId="35" fillId="2" borderId="34" xfId="3" applyNumberFormat="1" applyFont="1" applyFill="1" applyBorder="1" applyAlignment="1">
      <alignment horizontal="right" vertical="center" wrapText="1"/>
    </xf>
    <xf numFmtId="165" fontId="3" fillId="2" borderId="29" xfId="41" applyNumberFormat="1" applyFont="1" applyFill="1" applyBorder="1" applyAlignment="1">
      <alignment horizontal="left" vertical="center" wrapText="1"/>
    </xf>
    <xf numFmtId="4" fontId="3" fillId="2" borderId="39" xfId="3" applyNumberFormat="1" applyFont="1" applyFill="1" applyBorder="1" applyAlignment="1">
      <alignment horizontal="right" vertical="center" wrapText="1"/>
    </xf>
    <xf numFmtId="0" fontId="3" fillId="0" borderId="11" xfId="3" applyFont="1" applyBorder="1" applyAlignment="1">
      <alignment horizontal="center"/>
    </xf>
    <xf numFmtId="0" fontId="3" fillId="0" borderId="12" xfId="3" applyFont="1" applyBorder="1" applyAlignment="1">
      <alignment horizontal="left" vertical="top" wrapText="1"/>
    </xf>
    <xf numFmtId="0" fontId="3" fillId="0" borderId="47" xfId="3" applyFont="1" applyBorder="1" applyAlignment="1">
      <alignment horizontal="left" vertical="top" wrapText="1"/>
    </xf>
    <xf numFmtId="4" fontId="3" fillId="0" borderId="6" xfId="3" applyNumberFormat="1" applyFont="1" applyBorder="1" applyAlignment="1">
      <alignment horizontal="right" vertical="center" wrapText="1"/>
    </xf>
    <xf numFmtId="4" fontId="4" fillId="0" borderId="6" xfId="42" applyNumberFormat="1" applyBorder="1" applyAlignment="1">
      <alignment horizontal="right" vertical="center" wrapText="1"/>
    </xf>
    <xf numFmtId="0" fontId="14" fillId="0" borderId="6" xfId="0" applyFont="1" applyBorder="1" applyAlignment="1">
      <alignment wrapText="1"/>
    </xf>
    <xf numFmtId="0" fontId="3" fillId="0" borderId="7" xfId="3" applyFont="1" applyBorder="1" applyAlignment="1">
      <alignment horizontal="center"/>
    </xf>
    <xf numFmtId="0" fontId="3" fillId="2" borderId="25" xfId="3" applyFont="1" applyFill="1" applyBorder="1" applyAlignment="1">
      <alignment horizontal="center" vertical="top"/>
    </xf>
    <xf numFmtId="0" fontId="3" fillId="2" borderId="2" xfId="3" applyFont="1" applyFill="1" applyBorder="1" applyAlignment="1">
      <alignment horizontal="left" vertical="top" wrapText="1"/>
    </xf>
    <xf numFmtId="0" fontId="4" fillId="0" borderId="10" xfId="3" applyBorder="1" applyAlignment="1">
      <alignment horizontal="center"/>
    </xf>
    <xf numFmtId="4" fontId="4" fillId="0" borderId="8" xfId="3" applyNumberFormat="1" applyBorder="1"/>
    <xf numFmtId="4" fontId="4" fillId="0" borderId="6" xfId="0" applyNumberFormat="1" applyFont="1" applyBorder="1" applyAlignment="1">
      <alignment vertical="center" wrapText="1"/>
    </xf>
    <xf numFmtId="4" fontId="4" fillId="0" borderId="31" xfId="3" applyNumberFormat="1" applyBorder="1"/>
    <xf numFmtId="4" fontId="4" fillId="0" borderId="6" xfId="3" applyNumberFormat="1" applyBorder="1"/>
    <xf numFmtId="4" fontId="35" fillId="0" borderId="6" xfId="0" applyNumberFormat="1" applyFont="1" applyBorder="1" applyAlignment="1">
      <alignment horizontal="right" vertical="center"/>
    </xf>
    <xf numFmtId="3" fontId="3" fillId="0" borderId="3" xfId="3" applyNumberFormat="1" applyFont="1" applyBorder="1" applyAlignment="1">
      <alignment horizontal="center" vertical="center"/>
    </xf>
    <xf numFmtId="4" fontId="3" fillId="0" borderId="3" xfId="3" applyNumberFormat="1" applyFont="1" applyBorder="1" applyAlignment="1">
      <alignment horizontal="right" vertical="center"/>
    </xf>
    <xf numFmtId="0" fontId="4" fillId="0" borderId="0" xfId="3" applyAlignment="1">
      <alignment vertical="top"/>
    </xf>
    <xf numFmtId="0" fontId="3" fillId="0" borderId="0" xfId="3" applyFont="1"/>
    <xf numFmtId="0" fontId="4" fillId="0" borderId="0" xfId="3" applyAlignment="1">
      <alignment vertical="center"/>
    </xf>
    <xf numFmtId="0" fontId="35" fillId="0" borderId="0" xfId="0" applyFont="1" applyAlignment="1">
      <alignment vertical="top"/>
    </xf>
    <xf numFmtId="0" fontId="21" fillId="0" borderId="0" xfId="0" applyFont="1"/>
    <xf numFmtId="0" fontId="38" fillId="0" borderId="0" xfId="0" applyFont="1" applyAlignment="1">
      <alignment horizontal="center" wrapText="1"/>
    </xf>
    <xf numFmtId="0" fontId="0" fillId="0" borderId="0" xfId="0"/>
    <xf numFmtId="0" fontId="3" fillId="0" borderId="0" xfId="0" applyFont="1" applyAlignment="1">
      <alignment horizontal="center"/>
    </xf>
    <xf numFmtId="3" fontId="35" fillId="2" borderId="13" xfId="2" applyNumberFormat="1" applyFont="1" applyFill="1" applyBorder="1" applyAlignment="1">
      <alignment horizontal="right" vertical="distributed"/>
    </xf>
    <xf numFmtId="3" fontId="35" fillId="2" borderId="6" xfId="0" applyNumberFormat="1" applyFont="1" applyFill="1" applyBorder="1"/>
    <xf numFmtId="3" fontId="36" fillId="2" borderId="13" xfId="1" applyNumberFormat="1" applyFont="1" applyFill="1" applyBorder="1" applyAlignment="1">
      <alignment horizontal="right" vertical="distributed"/>
    </xf>
    <xf numFmtId="3" fontId="36" fillId="2" borderId="6" xfId="1" applyNumberFormat="1" applyFont="1" applyFill="1" applyBorder="1" applyAlignment="1">
      <alignment horizontal="right" vertical="distributed"/>
    </xf>
    <xf numFmtId="3" fontId="37" fillId="2" borderId="6" xfId="1" applyNumberFormat="1" applyFont="1" applyFill="1" applyBorder="1" applyAlignment="1">
      <alignment horizontal="right" vertical="distributed"/>
    </xf>
    <xf numFmtId="3" fontId="36" fillId="2" borderId="5" xfId="1" applyNumberFormat="1" applyFont="1" applyFill="1" applyBorder="1" applyAlignment="1">
      <alignment horizontal="right" vertical="distributed"/>
    </xf>
    <xf numFmtId="3" fontId="36" fillId="2" borderId="13" xfId="2" applyNumberFormat="1" applyFont="1" applyFill="1" applyBorder="1" applyAlignment="1">
      <alignment horizontal="right" vertical="distributed"/>
    </xf>
    <xf numFmtId="4" fontId="3" fillId="0" borderId="14" xfId="3" applyNumberFormat="1" applyFont="1" applyBorder="1"/>
    <xf numFmtId="0" fontId="3" fillId="4" borderId="38" xfId="0" applyFont="1" applyFill="1" applyBorder="1" applyAlignment="1">
      <alignment horizontal="center" vertical="center" wrapText="1"/>
    </xf>
    <xf numFmtId="3" fontId="3" fillId="4" borderId="49" xfId="1" applyNumberFormat="1" applyFont="1" applyFill="1" applyBorder="1" applyAlignment="1">
      <alignment horizontal="right" vertical="center"/>
    </xf>
    <xf numFmtId="10" fontId="3" fillId="4" borderId="40" xfId="0" applyNumberFormat="1" applyFont="1" applyFill="1" applyBorder="1" applyAlignment="1">
      <alignment vertical="center"/>
    </xf>
    <xf numFmtId="3" fontId="3" fillId="2" borderId="6" xfId="0" applyNumberFormat="1" applyFont="1" applyFill="1" applyBorder="1" applyAlignment="1">
      <alignment horizontal="right" vertical="center"/>
    </xf>
    <xf numFmtId="3" fontId="21" fillId="2" borderId="6" xfId="0" applyNumberFormat="1" applyFont="1" applyFill="1" applyBorder="1" applyAlignment="1">
      <alignment horizontal="right" vertical="center"/>
    </xf>
    <xf numFmtId="3" fontId="12" fillId="2" borderId="6" xfId="1" applyNumberFormat="1" applyFont="1" applyFill="1" applyBorder="1" applyAlignment="1">
      <alignment horizontal="right" vertical="center"/>
    </xf>
    <xf numFmtId="3" fontId="39" fillId="2" borderId="6" xfId="1" applyNumberFormat="1" applyFont="1" applyFill="1" applyBorder="1" applyAlignment="1">
      <alignment horizontal="right" vertical="center"/>
    </xf>
    <xf numFmtId="3" fontId="14" fillId="2" borderId="6" xfId="1" applyNumberFormat="1" applyFont="1" applyFill="1" applyBorder="1" applyAlignment="1">
      <alignment horizontal="right" vertical="center"/>
    </xf>
    <xf numFmtId="3" fontId="40" fillId="2" borderId="6" xfId="1" applyNumberFormat="1" applyFont="1" applyFill="1" applyBorder="1" applyAlignment="1">
      <alignment horizontal="right" vertical="center"/>
    </xf>
    <xf numFmtId="0" fontId="3" fillId="3" borderId="19" xfId="0" applyFont="1" applyFill="1" applyBorder="1" applyAlignment="1">
      <alignment vertical="center" wrapText="1"/>
    </xf>
    <xf numFmtId="3" fontId="3" fillId="2" borderId="20" xfId="1" applyNumberFormat="1" applyFont="1" applyFill="1" applyBorder="1" applyAlignment="1">
      <alignment horizontal="right" vertical="center"/>
    </xf>
    <xf numFmtId="3" fontId="21" fillId="2" borderId="20" xfId="1" applyNumberFormat="1" applyFont="1" applyFill="1" applyBorder="1" applyAlignment="1">
      <alignment horizontal="right" vertical="center"/>
    </xf>
    <xf numFmtId="10" fontId="5" fillId="2" borderId="28" xfId="2" applyNumberFormat="1" applyFont="1" applyFill="1" applyBorder="1" applyAlignment="1">
      <alignment horizontal="right" vertical="center"/>
    </xf>
    <xf numFmtId="10" fontId="5" fillId="2" borderId="30" xfId="2" applyNumberFormat="1" applyFont="1" applyFill="1" applyBorder="1" applyAlignment="1">
      <alignment horizontal="right" vertical="center"/>
    </xf>
    <xf numFmtId="0" fontId="11" fillId="0" borderId="7" xfId="25" applyFont="1" applyBorder="1" applyAlignment="1">
      <alignment vertical="center"/>
    </xf>
    <xf numFmtId="1" fontId="11" fillId="0" borderId="7" xfId="8" applyNumberFormat="1" applyFont="1" applyBorder="1" applyAlignment="1">
      <alignment horizontal="left" vertical="center" wrapText="1"/>
    </xf>
    <xf numFmtId="0" fontId="4" fillId="3" borderId="7" xfId="0" applyFont="1" applyFill="1" applyBorder="1" applyAlignment="1">
      <alignment horizontal="left" vertical="center" wrapText="1"/>
    </xf>
    <xf numFmtId="0" fontId="26" fillId="0" borderId="7" xfId="0" applyFont="1" applyBorder="1" applyAlignment="1">
      <alignment vertical="center" wrapText="1"/>
    </xf>
    <xf numFmtId="0" fontId="11" fillId="0" borderId="7" xfId="0" applyFont="1" applyBorder="1" applyAlignment="1">
      <alignment vertical="center" wrapText="1"/>
    </xf>
    <xf numFmtId="0" fontId="11" fillId="0" borderId="7" xfId="0" applyFont="1" applyBorder="1" applyAlignment="1">
      <alignment horizontal="left" vertical="center" wrapText="1"/>
    </xf>
    <xf numFmtId="0" fontId="10" fillId="3" borderId="7" xfId="0" applyFont="1" applyFill="1" applyBorder="1" applyAlignment="1">
      <alignment vertical="center" wrapText="1"/>
    </xf>
    <xf numFmtId="0" fontId="10" fillId="3" borderId="32" xfId="0" applyFont="1" applyFill="1" applyBorder="1" applyAlignment="1">
      <alignment vertical="center" wrapText="1"/>
    </xf>
    <xf numFmtId="3" fontId="4" fillId="2" borderId="33" xfId="1" applyNumberFormat="1" applyFont="1" applyFill="1" applyBorder="1" applyAlignment="1">
      <alignment horizontal="right" vertical="center"/>
    </xf>
    <xf numFmtId="3" fontId="35" fillId="2" borderId="33" xfId="1" applyNumberFormat="1" applyFont="1" applyFill="1" applyBorder="1" applyAlignment="1">
      <alignment horizontal="right" vertical="center"/>
    </xf>
    <xf numFmtId="10" fontId="5" fillId="2" borderId="34" xfId="2" applyNumberFormat="1" applyFont="1" applyFill="1" applyBorder="1" applyAlignment="1">
      <alignment horizontal="right" vertical="center"/>
    </xf>
    <xf numFmtId="3" fontId="4" fillId="2" borderId="13" xfId="0" applyNumberFormat="1" applyFont="1" applyFill="1" applyBorder="1"/>
    <xf numFmtId="3" fontId="35" fillId="2" borderId="12" xfId="0" applyNumberFormat="1" applyFont="1" applyFill="1" applyBorder="1" applyAlignment="1">
      <alignment vertical="center"/>
    </xf>
    <xf numFmtId="3" fontId="9" fillId="7" borderId="48" xfId="0" applyNumberFormat="1" applyFont="1" applyFill="1" applyBorder="1" applyAlignment="1">
      <alignment horizontal="center" vertical="center" wrapText="1"/>
    </xf>
    <xf numFmtId="4" fontId="9" fillId="7" borderId="48" xfId="0" applyNumberFormat="1" applyFont="1" applyFill="1" applyBorder="1" applyAlignment="1">
      <alignment horizontal="center" vertical="center" wrapText="1"/>
    </xf>
    <xf numFmtId="10" fontId="9" fillId="7" borderId="26" xfId="0" applyNumberFormat="1" applyFont="1" applyFill="1" applyBorder="1" applyAlignment="1">
      <alignment horizontal="center" vertical="center" wrapText="1"/>
    </xf>
    <xf numFmtId="0" fontId="9" fillId="7" borderId="17" xfId="0" applyFont="1" applyFill="1" applyBorder="1" applyAlignment="1">
      <alignment horizontal="center" vertical="center" wrapText="1"/>
    </xf>
    <xf numFmtId="49" fontId="7" fillId="8" borderId="1" xfId="0" applyNumberFormat="1" applyFont="1" applyFill="1" applyBorder="1"/>
    <xf numFmtId="49" fontId="17" fillId="8" borderId="0" xfId="0" applyNumberFormat="1" applyFont="1" applyFill="1" applyAlignment="1">
      <alignment horizontal="left"/>
    </xf>
    <xf numFmtId="4" fontId="17" fillId="8" borderId="0" xfId="0" applyNumberFormat="1" applyFont="1" applyFill="1" applyAlignment="1">
      <alignment horizontal="left"/>
    </xf>
    <xf numFmtId="10" fontId="17" fillId="8" borderId="0" xfId="0" applyNumberFormat="1" applyFont="1" applyFill="1" applyAlignment="1">
      <alignment horizontal="left"/>
    </xf>
    <xf numFmtId="4" fontId="3" fillId="0" borderId="0" xfId="0" applyNumberFormat="1" applyFont="1" applyAlignment="1">
      <alignment horizontal="right"/>
    </xf>
    <xf numFmtId="14" fontId="3" fillId="8" borderId="0" xfId="0" applyNumberFormat="1" applyFont="1" applyFill="1" applyAlignment="1">
      <alignment wrapText="1"/>
    </xf>
    <xf numFmtId="0" fontId="3" fillId="8" borderId="0" xfId="0" applyFont="1" applyFill="1"/>
    <xf numFmtId="4" fontId="3" fillId="8" borderId="0" xfId="0" applyNumberFormat="1" applyFont="1" applyFill="1"/>
    <xf numFmtId="4" fontId="4" fillId="8" borderId="0" xfId="0" applyNumberFormat="1" applyFont="1" applyFill="1"/>
    <xf numFmtId="0" fontId="4" fillId="8" borderId="0" xfId="0" applyFont="1" applyFill="1"/>
    <xf numFmtId="49" fontId="7" fillId="2" borderId="0" xfId="0" applyNumberFormat="1" applyFont="1" applyFill="1" applyBorder="1"/>
    <xf numFmtId="14" fontId="3" fillId="2" borderId="0" xfId="0" applyNumberFormat="1" applyFont="1" applyFill="1" applyAlignment="1">
      <alignment wrapText="1"/>
    </xf>
    <xf numFmtId="0" fontId="3" fillId="2" borderId="0" xfId="0" applyFont="1" applyFill="1"/>
    <xf numFmtId="4" fontId="3" fillId="2" borderId="0" xfId="0" applyNumberFormat="1" applyFont="1" applyFill="1"/>
    <xf numFmtId="0" fontId="4" fillId="2" borderId="0" xfId="0" applyFont="1" applyFill="1"/>
    <xf numFmtId="0" fontId="0" fillId="8" borderId="0" xfId="0" applyFill="1"/>
    <xf numFmtId="167" fontId="3" fillId="4" borderId="3" xfId="0" applyNumberFormat="1" applyFont="1" applyFill="1" applyBorder="1" applyAlignment="1">
      <alignment vertical="center"/>
    </xf>
    <xf numFmtId="0" fontId="3" fillId="0" borderId="12" xfId="0" applyFont="1" applyBorder="1" applyAlignment="1">
      <alignment wrapText="1"/>
    </xf>
    <xf numFmtId="0" fontId="3" fillId="0" borderId="6" xfId="0" applyFont="1" applyBorder="1" applyAlignment="1">
      <alignment wrapText="1"/>
    </xf>
    <xf numFmtId="0" fontId="22" fillId="0" borderId="6" xfId="0" quotePrefix="1" applyFont="1" applyBorder="1" applyAlignment="1">
      <alignment wrapText="1"/>
    </xf>
    <xf numFmtId="0" fontId="4" fillId="0" borderId="6" xfId="0" quotePrefix="1" applyFont="1" applyBorder="1" applyAlignment="1">
      <alignment wrapText="1"/>
    </xf>
    <xf numFmtId="0" fontId="8" fillId="5" borderId="6" xfId="0" applyFont="1" applyFill="1" applyBorder="1" applyAlignment="1">
      <alignment wrapText="1"/>
    </xf>
    <xf numFmtId="0" fontId="45" fillId="0" borderId="0" xfId="0" applyFont="1" applyAlignment="1">
      <alignment horizontal="center" wrapText="1"/>
    </xf>
    <xf numFmtId="0" fontId="46" fillId="0" borderId="0" xfId="0" applyFont="1"/>
    <xf numFmtId="0" fontId="3" fillId="0" borderId="0" xfId="0" applyFont="1" applyAlignment="1">
      <alignment horizontal="left" wrapText="1"/>
    </xf>
    <xf numFmtId="0" fontId="6" fillId="0" borderId="0" xfId="0" applyFont="1" applyAlignment="1">
      <alignment horizontal="center"/>
    </xf>
    <xf numFmtId="0" fontId="44" fillId="0" borderId="0" xfId="0" applyFont="1"/>
    <xf numFmtId="3" fontId="38" fillId="0" borderId="0" xfId="3" applyNumberFormat="1" applyFont="1" applyAlignment="1">
      <alignment horizontal="center"/>
    </xf>
  </cellXfs>
  <cellStyles count="43">
    <cellStyle name="Comma" xfId="1" builtinId="3"/>
    <cellStyle name="Comma 2" xfId="6"/>
    <cellStyle name="Comma 3" xfId="32"/>
    <cellStyle name="Comma_Sheet1" xfId="41"/>
    <cellStyle name="Normal" xfId="0" builtinId="0"/>
    <cellStyle name="Normal 10" xfId="10"/>
    <cellStyle name="Normal 10 10" xfId="17"/>
    <cellStyle name="Normal 10 5 2 2 2" xfId="15"/>
    <cellStyle name="Normal 10 9 2" xfId="19"/>
    <cellStyle name="Normal 11" xfId="28"/>
    <cellStyle name="Normal 11 2" xfId="42"/>
    <cellStyle name="Normal 14" xfId="24"/>
    <cellStyle name="Normal 18" xfId="26"/>
    <cellStyle name="Normal 2" xfId="5"/>
    <cellStyle name="Normal 2 2" xfId="11"/>
    <cellStyle name="Normal 2 2 10 2 2" xfId="16"/>
    <cellStyle name="Normal 2 2 10 2 2 2" xfId="21"/>
    <cellStyle name="Normal 2 2 10 2 3" xfId="18"/>
    <cellStyle name="Normal 2 2 2" xfId="29"/>
    <cellStyle name="Normal 2 2 2 2 10" xfId="22"/>
    <cellStyle name="Normal 2 2 2 2 2 2 2 10" xfId="23"/>
    <cellStyle name="Normal 3" xfId="4"/>
    <cellStyle name="Normal 3 2" xfId="14"/>
    <cellStyle name="Normal 3 92 2" xfId="31"/>
    <cellStyle name="Normal 3_realizat 30.06.2025_2" xfId="35"/>
    <cellStyle name="Normal 3_Sheet2_3" xfId="38"/>
    <cellStyle name="Normal 3_Sheet2_4" xfId="39"/>
    <cellStyle name="Normal 3_Sheet2_5" xfId="36"/>
    <cellStyle name="Normal 4" xfId="30"/>
    <cellStyle name="Normal 4 10 2" xfId="20"/>
    <cellStyle name="Normal 5" xfId="7"/>
    <cellStyle name="Normal 6" xfId="13"/>
    <cellStyle name="Normal 7" xfId="12"/>
    <cellStyle name="Normal 8" xfId="9"/>
    <cellStyle name="Normal 9" xfId="27"/>
    <cellStyle name="Normal_anexa 4.9 2" xfId="33"/>
    <cellStyle name="Normal_Centralizator_1" xfId="37"/>
    <cellStyle name="Normal_mach31" xfId="8"/>
    <cellStyle name="Normal_Machete buget 99" xfId="25"/>
    <cellStyle name="Normal_plan investitii TMFO 2019_5 2" xfId="34"/>
    <cellStyle name="Normal_Sheet1" xfId="3"/>
    <cellStyle name="Normal_Sheet1_2" xfId="40"/>
    <cellStyle name="Percent" xfId="2" builtinId="5"/>
  </cellStyles>
  <dxfs count="0"/>
  <tableStyles count="0" defaultTableStyle="TableStyleMedium2" defaultPivotStyle="PivotStyleMedium9"/>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explosion val="25"/>
          <c:dLbls>
            <c:dLbl>
              <c:idx val="0"/>
              <c:layout>
                <c:manualLayout>
                  <c:x val="0.11334372265966754"/>
                  <c:y val="1.0416666666666666E-2"/>
                </c:manualLayout>
              </c:layout>
              <c:spPr/>
              <c:txPr>
                <a:bodyPr/>
                <a:lstStyle/>
                <a:p>
                  <a:pPr>
                    <a:defRPr lang="ro-RO" sz="1000" b="1" i="0" u="none" strike="noStrike" baseline="0">
                      <a:solidFill>
                        <a:srgbClr val="000000"/>
                      </a:solidFill>
                      <a:latin typeface="Calibri"/>
                      <a:ea typeface="Calibri"/>
                      <a:cs typeface="Calibri"/>
                    </a:defRPr>
                  </a:pPr>
                  <a:endParaRPr lang="ro-RO"/>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0-4740-4DC1-9A44-1A2D1FA1462C}"/>
                </c:ext>
                <c:ext xmlns:c15="http://schemas.microsoft.com/office/drawing/2012/chart" uri="{CE6537A1-D6FC-4f65-9D91-7224C49458BB}"/>
              </c:extLst>
            </c:dLbl>
            <c:dLbl>
              <c:idx val="1"/>
              <c:layout>
                <c:manualLayout>
                  <c:x val="5.2993000874892122E-2"/>
                  <c:y val="1.1843832020997421E-3"/>
                </c:manualLayout>
              </c:layout>
              <c:spPr/>
              <c:txPr>
                <a:bodyPr/>
                <a:lstStyle/>
                <a:p>
                  <a:pPr>
                    <a:defRPr lang="ro-RO" sz="1000" b="1" i="0" u="none" strike="noStrike" baseline="0">
                      <a:solidFill>
                        <a:srgbClr val="000000"/>
                      </a:solidFill>
                      <a:latin typeface="Calibri"/>
                      <a:ea typeface="Calibri"/>
                      <a:cs typeface="Calibri"/>
                    </a:defRPr>
                  </a:pPr>
                  <a:endParaRPr lang="ro-RO"/>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4740-4DC1-9A44-1A2D1FA1462C}"/>
                </c:ext>
                <c:ext xmlns:c15="http://schemas.microsoft.com/office/drawing/2012/chart" uri="{CE6537A1-D6FC-4f65-9D91-7224C49458BB}"/>
              </c:extLst>
            </c:dLbl>
            <c:dLbl>
              <c:idx val="3"/>
              <c:layout>
                <c:manualLayout>
                  <c:x val="-6.8393482064742134E-2"/>
                  <c:y val="-1.3206838728492301E-2"/>
                </c:manualLayout>
              </c:layout>
              <c:spPr/>
              <c:txPr>
                <a:bodyPr/>
                <a:lstStyle/>
                <a:p>
                  <a:pPr>
                    <a:defRPr lang="ro-RO" sz="1000" b="1" i="0" u="none" strike="noStrike" baseline="0">
                      <a:solidFill>
                        <a:srgbClr val="000000"/>
                      </a:solidFill>
                      <a:latin typeface="Calibri"/>
                      <a:ea typeface="Calibri"/>
                      <a:cs typeface="Calibri"/>
                    </a:defRPr>
                  </a:pPr>
                  <a:endParaRPr lang="ro-RO"/>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2-4740-4DC1-9A44-1A2D1FA1462C}"/>
                </c:ext>
                <c:ext xmlns:c15="http://schemas.microsoft.com/office/drawing/2012/chart" uri="{CE6537A1-D6FC-4f65-9D91-7224C49458BB}"/>
              </c:extLst>
            </c:dLbl>
            <c:dLbl>
              <c:idx val="4"/>
              <c:layout>
                <c:manualLayout>
                  <c:x val="-0.15763932633420821"/>
                  <c:y val="4.2824074074074077E-2"/>
                </c:manualLayout>
              </c:layout>
              <c:spPr/>
              <c:txPr>
                <a:bodyPr/>
                <a:lstStyle/>
                <a:p>
                  <a:pPr>
                    <a:defRPr lang="ro-RO" sz="1000" b="1" i="0" u="none" strike="noStrike" baseline="0">
                      <a:solidFill>
                        <a:srgbClr val="000000"/>
                      </a:solidFill>
                      <a:latin typeface="Calibri"/>
                      <a:ea typeface="Calibri"/>
                      <a:cs typeface="Calibri"/>
                    </a:defRPr>
                  </a:pPr>
                  <a:endParaRPr lang="ro-RO"/>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4740-4DC1-9A44-1A2D1FA1462C}"/>
                </c:ext>
                <c:ext xmlns:c15="http://schemas.microsoft.com/office/drawing/2012/chart" uri="{CE6537A1-D6FC-4f65-9D91-7224C49458BB}"/>
              </c:extLst>
            </c:dLbl>
            <c:spPr>
              <a:noFill/>
              <a:ln w="25400">
                <a:noFill/>
              </a:ln>
            </c:spPr>
            <c:txPr>
              <a:bodyPr/>
              <a:lstStyle/>
              <a:p>
                <a:pPr>
                  <a:defRPr lang="ro-RO" sz="1000" b="1" i="0" u="none" strike="noStrike" baseline="0">
                    <a:solidFill>
                      <a:srgbClr val="000000"/>
                    </a:solidFill>
                    <a:latin typeface="Calibri"/>
                    <a:ea typeface="Calibri"/>
                    <a:cs typeface="Calibri"/>
                  </a:defRPr>
                </a:pPr>
                <a:endParaRPr lang="ro-RO"/>
              </a:p>
            </c:txPr>
            <c:showLegendKey val="0"/>
            <c:showVal val="1"/>
            <c:showCatName val="1"/>
            <c:showSerName val="0"/>
            <c:showPercent val="1"/>
            <c:showBubbleSize val="0"/>
            <c:separator>
</c:separator>
            <c:showLeaderLines val="1"/>
            <c:extLst xmlns:c16r2="http://schemas.microsoft.com/office/drawing/2015/06/chart">
              <c:ext xmlns:c15="http://schemas.microsoft.com/office/drawing/2012/chart" uri="{CE6537A1-D6FC-4f65-9D91-7224C49458BB}"/>
            </c:extLst>
          </c:dLbls>
          <c:cat>
            <c:numRef>
              <c:f>('[1]2 ch op 2018'!$Q$381,'[1]2 ch op 2018'!$X$381,'[1]2 ch op 2018'!$Z$381,'[1]2 ch op 2018'!$AA$381,'[1]2 ch op 2018'!$AB$381)</c:f>
              <c:numCache>
                <c:formatCode>General</c:formatCode>
                <c:ptCount val="5"/>
              </c:numCache>
            </c:numRef>
          </c:cat>
          <c:val>
            <c:numRef>
              <c:f>('[1]2 ch op 2018'!$Q$393,'[1]2 ch op 2018'!$X$393,'[1]2 ch op 2018'!$Z$393,'[1]2 ch op 2018'!$AA$393,'[1]2 ch op 2018'!$AB$393)</c:f>
              <c:numCache>
                <c:formatCode>General</c:formatCode>
                <c:ptCount val="5"/>
              </c:numCache>
            </c:numRef>
          </c:val>
          <c:extLst xmlns:c16r2="http://schemas.microsoft.com/office/drawing/2015/06/chart">
            <c:ext xmlns:c16="http://schemas.microsoft.com/office/drawing/2014/chart" uri="{C3380CC4-5D6E-409C-BE32-E72D297353CC}">
              <c16:uniqueId val="{00000004-4740-4DC1-9A44-1A2D1FA1462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ro-RO"/>
    </a:p>
  </c:tx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1379220</xdr:colOff>
      <xdr:row>341</xdr:row>
      <xdr:rowOff>137160</xdr:rowOff>
    </xdr:from>
    <xdr:to>
      <xdr:col>2</xdr:col>
      <xdr:colOff>0</xdr:colOff>
      <xdr:row>358</xdr:row>
      <xdr:rowOff>30480</xdr:rowOff>
    </xdr:to>
    <xdr:graphicFrame macro="">
      <xdr:nvGraphicFramePr>
        <xdr:cNvPr id="15" name="Chart 20">
          <a:extLst>
            <a:ext uri="{FF2B5EF4-FFF2-40B4-BE49-F238E27FC236}">
              <a16:creationId xmlns=""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Manevre\Users\ioana.maxim\AppData\Roaming\Microsoft\Excel\executie%20ianuari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ven 2019"/>
      <sheetName val="2 ch op 2018"/>
      <sheetName val="operativa 2019"/>
      <sheetName val="A 2 che o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4"/>
  <sheetViews>
    <sheetView view="pageBreakPreview" zoomScale="98" zoomScaleNormal="98" zoomScaleSheetLayoutView="98" workbookViewId="0">
      <pane ySplit="7" topLeftCell="A116" activePane="bottomLeft" state="frozen"/>
      <selection pane="bottomLeft" activeCell="A5" sqref="A5:D5"/>
    </sheetView>
  </sheetViews>
  <sheetFormatPr defaultColWidth="9.109375" defaultRowHeight="13.2" x14ac:dyDescent="0.25"/>
  <cols>
    <col min="1" max="1" width="39" style="2" customWidth="1"/>
    <col min="2" max="2" width="12.6640625" style="2" customWidth="1"/>
    <col min="3" max="3" width="12.88671875" style="2" customWidth="1"/>
    <col min="4" max="5" width="13.44140625" style="2" customWidth="1"/>
    <col min="6" max="6" width="12.6640625" style="31" bestFit="1" customWidth="1"/>
    <col min="7" max="7" width="14.77734375" style="31" bestFit="1" customWidth="1"/>
    <col min="8" max="8" width="10.44140625" style="126" bestFit="1" customWidth="1"/>
    <col min="9" max="16384" width="9.109375" style="2"/>
  </cols>
  <sheetData>
    <row r="1" spans="1:8" x14ac:dyDescent="0.25">
      <c r="A1" s="1" t="s">
        <v>0</v>
      </c>
      <c r="H1" s="166" t="s">
        <v>926</v>
      </c>
    </row>
    <row r="3" spans="1:8" ht="21" x14ac:dyDescent="0.4">
      <c r="A3" s="445" t="s">
        <v>929</v>
      </c>
      <c r="B3" s="446"/>
      <c r="C3" s="446"/>
      <c r="D3" s="446"/>
      <c r="E3" s="446"/>
      <c r="F3" s="446"/>
      <c r="G3" s="446"/>
    </row>
    <row r="4" spans="1:8" ht="15.6" x14ac:dyDescent="0.3">
      <c r="A4" s="381"/>
      <c r="B4" s="382"/>
      <c r="C4" s="382"/>
      <c r="D4" s="382"/>
      <c r="E4" s="382"/>
      <c r="F4" s="382"/>
      <c r="G4" s="382"/>
    </row>
    <row r="5" spans="1:8" ht="15.6" x14ac:dyDescent="0.3">
      <c r="A5" s="423" t="s">
        <v>931</v>
      </c>
      <c r="B5" s="424"/>
      <c r="C5" s="424"/>
      <c r="D5" s="424"/>
      <c r="E5" s="424"/>
      <c r="F5" s="425"/>
      <c r="G5" s="425"/>
      <c r="H5" s="426"/>
    </row>
    <row r="6" spans="1:8" ht="13.8" thickBot="1" x14ac:dyDescent="0.3"/>
    <row r="7" spans="1:8" ht="27" thickBot="1" x14ac:dyDescent="0.3">
      <c r="A7" s="422" t="s">
        <v>1</v>
      </c>
      <c r="B7" s="419" t="s">
        <v>224</v>
      </c>
      <c r="C7" s="419" t="s">
        <v>235</v>
      </c>
      <c r="D7" s="419" t="s">
        <v>236</v>
      </c>
      <c r="E7" s="419" t="s">
        <v>246</v>
      </c>
      <c r="F7" s="420" t="s">
        <v>258</v>
      </c>
      <c r="G7" s="420" t="s">
        <v>930</v>
      </c>
      <c r="H7" s="421" t="s">
        <v>2</v>
      </c>
    </row>
    <row r="8" spans="1:8" x14ac:dyDescent="0.25">
      <c r="A8" s="401" t="s">
        <v>3</v>
      </c>
      <c r="B8" s="402">
        <v>3999494</v>
      </c>
      <c r="C8" s="402">
        <v>7114248</v>
      </c>
      <c r="D8" s="403">
        <v>8000000</v>
      </c>
      <c r="E8" s="403">
        <v>8000000</v>
      </c>
      <c r="F8" s="403">
        <v>6348910</v>
      </c>
      <c r="G8" s="403">
        <v>7000000</v>
      </c>
      <c r="H8" s="404">
        <f>G8/F8-1</f>
        <v>0.10255146158946959</v>
      </c>
    </row>
    <row r="9" spans="1:8" ht="26.4" x14ac:dyDescent="0.25">
      <c r="A9" s="3" t="s">
        <v>4</v>
      </c>
      <c r="B9" s="76">
        <v>6937971.5</v>
      </c>
      <c r="C9" s="76">
        <v>9881473</v>
      </c>
      <c r="D9" s="172">
        <v>10500000</v>
      </c>
      <c r="E9" s="172">
        <v>10500000</v>
      </c>
      <c r="F9" s="172">
        <v>9510675.5</v>
      </c>
      <c r="G9" s="172">
        <v>9000000</v>
      </c>
      <c r="H9" s="405">
        <f t="shared" ref="H9:H69" si="0">G9/F9-1</f>
        <v>-5.3694976765845892E-2</v>
      </c>
    </row>
    <row r="10" spans="1:8" x14ac:dyDescent="0.25">
      <c r="A10" s="3" t="s">
        <v>5</v>
      </c>
      <c r="B10" s="395">
        <f t="shared" ref="B10:G10" si="1">SUM(B11:B12)</f>
        <v>399555085.38999999</v>
      </c>
      <c r="C10" s="395">
        <f t="shared" si="1"/>
        <v>351872541.5</v>
      </c>
      <c r="D10" s="396">
        <f t="shared" si="1"/>
        <v>399970000</v>
      </c>
      <c r="E10" s="396">
        <f t="shared" si="1"/>
        <v>399340000</v>
      </c>
      <c r="F10" s="396">
        <f t="shared" si="1"/>
        <v>396537593.06</v>
      </c>
      <c r="G10" s="396">
        <f t="shared" si="1"/>
        <v>389320000</v>
      </c>
      <c r="H10" s="405">
        <f t="shared" si="0"/>
        <v>-1.8201535456709883E-2</v>
      </c>
    </row>
    <row r="11" spans="1:8" x14ac:dyDescent="0.25">
      <c r="A11" s="4" t="s">
        <v>6</v>
      </c>
      <c r="B11" s="70">
        <v>399255085.38999999</v>
      </c>
      <c r="C11" s="70">
        <v>351486541.5</v>
      </c>
      <c r="D11" s="171">
        <v>399970000</v>
      </c>
      <c r="E11" s="171">
        <v>398840000</v>
      </c>
      <c r="F11" s="171">
        <f>396044324.87</f>
        <v>396044324.87</v>
      </c>
      <c r="G11" s="171">
        <v>389320000</v>
      </c>
      <c r="H11" s="405">
        <f t="shared" si="0"/>
        <v>-1.6978717905394181E-2</v>
      </c>
    </row>
    <row r="12" spans="1:8" ht="26.4" x14ac:dyDescent="0.25">
      <c r="A12" s="4" t="s">
        <v>204</v>
      </c>
      <c r="B12" s="70">
        <v>300000</v>
      </c>
      <c r="C12" s="70">
        <v>386000</v>
      </c>
      <c r="D12" s="171"/>
      <c r="E12" s="171">
        <v>500000</v>
      </c>
      <c r="F12" s="171">
        <v>493268.19</v>
      </c>
      <c r="G12" s="171"/>
      <c r="H12" s="405">
        <f t="shared" si="0"/>
        <v>-1</v>
      </c>
    </row>
    <row r="13" spans="1:8" ht="26.4" hidden="1" customHeight="1" x14ac:dyDescent="0.25">
      <c r="A13" s="3" t="s">
        <v>190</v>
      </c>
      <c r="B13" s="76"/>
      <c r="C13" s="76"/>
      <c r="D13" s="172"/>
      <c r="E13" s="172"/>
      <c r="F13" s="172"/>
      <c r="G13" s="172"/>
      <c r="H13" s="405" t="e">
        <f t="shared" si="0"/>
        <v>#DIV/0!</v>
      </c>
    </row>
    <row r="14" spans="1:8" ht="26.4" hidden="1" x14ac:dyDescent="0.25">
      <c r="A14" s="4" t="s">
        <v>189</v>
      </c>
      <c r="B14" s="70"/>
      <c r="C14" s="70"/>
      <c r="D14" s="171"/>
      <c r="E14" s="171"/>
      <c r="F14" s="171"/>
      <c r="G14" s="171"/>
      <c r="H14" s="405" t="e">
        <f t="shared" si="0"/>
        <v>#DIV/0!</v>
      </c>
    </row>
    <row r="15" spans="1:8" x14ac:dyDescent="0.25">
      <c r="A15" s="3" t="s">
        <v>7</v>
      </c>
      <c r="B15" s="76">
        <f t="shared" ref="B15:C15" si="2">+B16+B19+B22+B23</f>
        <v>130604823.43000001</v>
      </c>
      <c r="C15" s="76">
        <f t="shared" si="2"/>
        <v>140302225.28999999</v>
      </c>
      <c r="D15" s="172">
        <f>+D16+D19+D22+D23</f>
        <v>147900000</v>
      </c>
      <c r="E15" s="172">
        <f>+E16+E19+E22+E23</f>
        <v>160350440</v>
      </c>
      <c r="F15" s="172">
        <f>+F16+F19+F22+F23</f>
        <v>166730149.85000002</v>
      </c>
      <c r="G15" s="172">
        <f>+G16+G19+G22+G23</f>
        <v>226650000</v>
      </c>
      <c r="H15" s="405">
        <f t="shared" si="0"/>
        <v>0.35938221253868785</v>
      </c>
    </row>
    <row r="16" spans="1:8" x14ac:dyDescent="0.25">
      <c r="A16" s="4" t="s">
        <v>8</v>
      </c>
      <c r="B16" s="70">
        <f t="shared" ref="B16:C16" si="3">+B17+B18</f>
        <v>83424182.730000004</v>
      </c>
      <c r="C16" s="70">
        <f t="shared" si="3"/>
        <v>91076543.560000002</v>
      </c>
      <c r="D16" s="171">
        <f>+D17+D18</f>
        <v>95800000</v>
      </c>
      <c r="E16" s="171">
        <f>+E17+E18</f>
        <v>110250440</v>
      </c>
      <c r="F16" s="171">
        <f>+F17+F18</f>
        <v>114059449.3</v>
      </c>
      <c r="G16" s="171">
        <f>+G17+G18</f>
        <v>167800000</v>
      </c>
      <c r="H16" s="405">
        <f t="shared" si="0"/>
        <v>0.47116263518554446</v>
      </c>
    </row>
    <row r="17" spans="1:8" x14ac:dyDescent="0.25">
      <c r="A17" s="5" t="s">
        <v>9</v>
      </c>
      <c r="B17" s="397">
        <f>31989221.09+10</f>
        <v>31989231.09</v>
      </c>
      <c r="C17" s="397">
        <v>33919046.030000001</v>
      </c>
      <c r="D17" s="398">
        <v>36150000</v>
      </c>
      <c r="E17" s="398">
        <v>36150000</v>
      </c>
      <c r="F17" s="398">
        <v>39061244.280000001</v>
      </c>
      <c r="G17" s="398">
        <v>77800000</v>
      </c>
      <c r="H17" s="405">
        <f t="shared" si="0"/>
        <v>0.99174402746394019</v>
      </c>
    </row>
    <row r="18" spans="1:8" x14ac:dyDescent="0.25">
      <c r="A18" s="5" t="s">
        <v>10</v>
      </c>
      <c r="B18" s="397">
        <v>51434951.640000001</v>
      </c>
      <c r="C18" s="397">
        <v>57157497.530000001</v>
      </c>
      <c r="D18" s="398">
        <v>59650000</v>
      </c>
      <c r="E18" s="398">
        <v>74100440</v>
      </c>
      <c r="F18" s="398">
        <v>74998205.019999996</v>
      </c>
      <c r="G18" s="398">
        <v>90000000</v>
      </c>
      <c r="H18" s="405">
        <f t="shared" si="0"/>
        <v>0.20002872036736652</v>
      </c>
    </row>
    <row r="19" spans="1:8" x14ac:dyDescent="0.25">
      <c r="A19" s="4" t="s">
        <v>11</v>
      </c>
      <c r="B19" s="70">
        <f t="shared" ref="B19" si="4">+B20+B21</f>
        <v>23282602.560000002</v>
      </c>
      <c r="C19" s="70">
        <f>+C20+C21</f>
        <v>25865656.449999999</v>
      </c>
      <c r="D19" s="171">
        <f>+D20+D21</f>
        <v>27600000</v>
      </c>
      <c r="E19" s="171">
        <f>+E20+E21</f>
        <v>27600000</v>
      </c>
      <c r="F19" s="171">
        <f>+F20+F21</f>
        <v>28303241.829999998</v>
      </c>
      <c r="G19" s="171">
        <f>+G20+G21</f>
        <v>32850000</v>
      </c>
      <c r="H19" s="405">
        <f t="shared" si="0"/>
        <v>0.16064443067368583</v>
      </c>
    </row>
    <row r="20" spans="1:8" x14ac:dyDescent="0.25">
      <c r="A20" s="5" t="s">
        <v>12</v>
      </c>
      <c r="B20" s="397">
        <v>11626391.85</v>
      </c>
      <c r="C20" s="397">
        <v>12265982.41</v>
      </c>
      <c r="D20" s="398">
        <v>13100000</v>
      </c>
      <c r="E20" s="398">
        <v>13100000</v>
      </c>
      <c r="F20" s="398">
        <v>13722476.42</v>
      </c>
      <c r="G20" s="398">
        <v>16200000</v>
      </c>
      <c r="H20" s="405">
        <f t="shared" si="0"/>
        <v>0.18054493257420368</v>
      </c>
    </row>
    <row r="21" spans="1:8" ht="15.75" customHeight="1" x14ac:dyDescent="0.25">
      <c r="A21" s="5" t="s">
        <v>13</v>
      </c>
      <c r="B21" s="397">
        <v>11656210.710000001</v>
      </c>
      <c r="C21" s="397">
        <v>13599674.039999999</v>
      </c>
      <c r="D21" s="398">
        <v>14500000</v>
      </c>
      <c r="E21" s="398">
        <v>14500000</v>
      </c>
      <c r="F21" s="398">
        <v>14580765.41</v>
      </c>
      <c r="G21" s="398">
        <v>16650000</v>
      </c>
      <c r="H21" s="405">
        <f t="shared" si="0"/>
        <v>0.14191536121833814</v>
      </c>
    </row>
    <row r="22" spans="1:8" x14ac:dyDescent="0.25">
      <c r="A22" s="4" t="s">
        <v>14</v>
      </c>
      <c r="B22" s="70">
        <v>6841345.2800000003</v>
      </c>
      <c r="C22" s="70">
        <v>7017131.2400000002</v>
      </c>
      <c r="D22" s="171">
        <v>7500000</v>
      </c>
      <c r="E22" s="171">
        <v>7500000</v>
      </c>
      <c r="F22" s="171">
        <v>9617795.8599999994</v>
      </c>
      <c r="G22" s="171">
        <v>9000000</v>
      </c>
      <c r="H22" s="405">
        <f t="shared" si="0"/>
        <v>-6.42346613499446E-2</v>
      </c>
    </row>
    <row r="23" spans="1:8" x14ac:dyDescent="0.25">
      <c r="A23" s="4" t="s">
        <v>15</v>
      </c>
      <c r="B23" s="70">
        <v>17056692.859999999</v>
      </c>
      <c r="C23" s="70">
        <v>16342894.039999999</v>
      </c>
      <c r="D23" s="171">
        <v>17000000</v>
      </c>
      <c r="E23" s="171">
        <v>15000000</v>
      </c>
      <c r="F23" s="171">
        <v>14749662.859999999</v>
      </c>
      <c r="G23" s="171">
        <v>17000000</v>
      </c>
      <c r="H23" s="405">
        <f t="shared" si="0"/>
        <v>0.15256871708591713</v>
      </c>
    </row>
    <row r="24" spans="1:8" x14ac:dyDescent="0.25">
      <c r="A24" s="3" t="s">
        <v>16</v>
      </c>
      <c r="B24" s="76">
        <f t="shared" ref="B24:C24" si="5">SUM(B25:B27)</f>
        <v>97248363.390000001</v>
      </c>
      <c r="C24" s="76">
        <f t="shared" si="5"/>
        <v>156605121</v>
      </c>
      <c r="D24" s="172">
        <f>SUM(D25:D27)</f>
        <v>140548530</v>
      </c>
      <c r="E24" s="172">
        <f>SUM(E25:E27)</f>
        <v>141495130</v>
      </c>
      <c r="F24" s="172">
        <f>SUM(F25:F27)</f>
        <v>140597961.62</v>
      </c>
      <c r="G24" s="172">
        <f>SUM(G25:G27)</f>
        <v>79492000</v>
      </c>
      <c r="H24" s="405">
        <f t="shared" si="0"/>
        <v>-0.43461484729880828</v>
      </c>
    </row>
    <row r="25" spans="1:8" ht="26.4" x14ac:dyDescent="0.25">
      <c r="A25" s="4" t="s">
        <v>17</v>
      </c>
      <c r="B25" s="70">
        <f>72638620+1796585+2304000-200049.21</f>
        <v>76539155.790000007</v>
      </c>
      <c r="C25" s="70">
        <f>(27255000+20800)+(49422000+14561000-5771055.86)+(27400+6200+4000-36520)+(2875570+350000-398292.79)+(6827850+5356000-30)+(1419000-473000-824108)</f>
        <v>100621813.34999999</v>
      </c>
      <c r="D25" s="171">
        <v>114140070</v>
      </c>
      <c r="E25" s="171">
        <f>29397070+(1299000)+69692000+(3260000)+11082000</f>
        <v>114730070</v>
      </c>
      <c r="F25" s="171">
        <f>29397070+(1299000-588043.64)+69692000+(3260000-187849.68)+11082000</f>
        <v>113954176.67999999</v>
      </c>
      <c r="G25" s="171">
        <f>1713000+74779000</f>
        <v>76492000</v>
      </c>
      <c r="H25" s="405">
        <f t="shared" si="0"/>
        <v>-0.32874772800297847</v>
      </c>
    </row>
    <row r="26" spans="1:8" ht="26.4" x14ac:dyDescent="0.25">
      <c r="A26" s="4" t="s">
        <v>18</v>
      </c>
      <c r="B26" s="70">
        <v>6381500</v>
      </c>
      <c r="C26" s="70">
        <f>17411000+17789000</f>
        <v>35200000</v>
      </c>
      <c r="D26" s="171">
        <v>3180000</v>
      </c>
      <c r="E26" s="171">
        <v>3180000</v>
      </c>
      <c r="F26" s="171">
        <v>3180000</v>
      </c>
      <c r="G26" s="171">
        <f>500000+500000+2000000</f>
        <v>3000000</v>
      </c>
      <c r="H26" s="405">
        <f t="shared" si="0"/>
        <v>-5.6603773584905648E-2</v>
      </c>
    </row>
    <row r="27" spans="1:8" ht="39.6" x14ac:dyDescent="0.25">
      <c r="A27" s="4" t="s">
        <v>19</v>
      </c>
      <c r="B27" s="30">
        <f>14668000+65000-405292.4</f>
        <v>14327707.6</v>
      </c>
      <c r="C27" s="30">
        <f>20853350-70042.35</f>
        <v>20783307.649999999</v>
      </c>
      <c r="D27" s="134">
        <v>23228460</v>
      </c>
      <c r="E27" s="134">
        <v>23585060</v>
      </c>
      <c r="F27" s="139">
        <f>23585060-121275.06</f>
        <v>23463784.940000001</v>
      </c>
      <c r="G27" s="139"/>
      <c r="H27" s="405">
        <f t="shared" si="0"/>
        <v>-1</v>
      </c>
    </row>
    <row r="28" spans="1:8" x14ac:dyDescent="0.25">
      <c r="A28" s="3" t="s">
        <v>20</v>
      </c>
      <c r="B28" s="76">
        <f>B29</f>
        <v>1968873.52</v>
      </c>
      <c r="C28" s="76">
        <f t="shared" ref="C28:G28" si="6">C29</f>
        <v>2133451.58</v>
      </c>
      <c r="D28" s="172">
        <f t="shared" si="6"/>
        <v>2500000</v>
      </c>
      <c r="E28" s="172">
        <f t="shared" si="6"/>
        <v>2500000</v>
      </c>
      <c r="F28" s="172">
        <f t="shared" si="6"/>
        <v>2290243.02</v>
      </c>
      <c r="G28" s="172">
        <f t="shared" si="6"/>
        <v>2500000</v>
      </c>
      <c r="H28" s="405">
        <f t="shared" si="0"/>
        <v>9.1587215054584004E-2</v>
      </c>
    </row>
    <row r="29" spans="1:8" x14ac:dyDescent="0.25">
      <c r="A29" s="4" t="s">
        <v>21</v>
      </c>
      <c r="B29" s="70">
        <v>1968873.52</v>
      </c>
      <c r="C29" s="70">
        <v>2133451.58</v>
      </c>
      <c r="D29" s="171">
        <v>2500000</v>
      </c>
      <c r="E29" s="171">
        <v>2500000</v>
      </c>
      <c r="F29" s="171">
        <v>2290243.02</v>
      </c>
      <c r="G29" s="171">
        <v>2500000</v>
      </c>
      <c r="H29" s="405">
        <f t="shared" si="0"/>
        <v>9.1587215054584004E-2</v>
      </c>
    </row>
    <row r="30" spans="1:8" x14ac:dyDescent="0.25">
      <c r="A30" s="3" t="s">
        <v>22</v>
      </c>
      <c r="B30" s="76">
        <f t="shared" ref="B30:G30" si="7">B31</f>
        <v>178606.91</v>
      </c>
      <c r="C30" s="76">
        <f t="shared" si="7"/>
        <v>152181.17000000001</v>
      </c>
      <c r="D30" s="172">
        <f t="shared" si="7"/>
        <v>175000</v>
      </c>
      <c r="E30" s="172">
        <f t="shared" si="7"/>
        <v>175000</v>
      </c>
      <c r="F30" s="172">
        <f t="shared" si="7"/>
        <v>184123.56</v>
      </c>
      <c r="G30" s="172">
        <f t="shared" si="7"/>
        <v>200000</v>
      </c>
      <c r="H30" s="405">
        <f t="shared" si="0"/>
        <v>8.6227096630110855E-2</v>
      </c>
    </row>
    <row r="31" spans="1:8" x14ac:dyDescent="0.25">
      <c r="A31" s="4" t="s">
        <v>23</v>
      </c>
      <c r="B31" s="70">
        <v>178606.91</v>
      </c>
      <c r="C31" s="70">
        <v>152181.17000000001</v>
      </c>
      <c r="D31" s="171">
        <v>175000</v>
      </c>
      <c r="E31" s="171">
        <v>175000</v>
      </c>
      <c r="F31" s="171">
        <v>184123.56</v>
      </c>
      <c r="G31" s="171">
        <v>200000</v>
      </c>
      <c r="H31" s="405">
        <f t="shared" si="0"/>
        <v>8.6227096630110855E-2</v>
      </c>
    </row>
    <row r="32" spans="1:8" ht="26.4" x14ac:dyDescent="0.25">
      <c r="A32" s="3" t="s">
        <v>24</v>
      </c>
      <c r="B32" s="76">
        <f t="shared" ref="B32:C32" si="8">B33+B36</f>
        <v>32834773.100000001</v>
      </c>
      <c r="C32" s="76">
        <f t="shared" si="8"/>
        <v>34467523.640000001</v>
      </c>
      <c r="D32" s="172">
        <f>D33+D36</f>
        <v>36600000</v>
      </c>
      <c r="E32" s="172">
        <f>E33+E36</f>
        <v>36600000</v>
      </c>
      <c r="F32" s="172">
        <f>F33+F36</f>
        <v>39221866.200000003</v>
      </c>
      <c r="G32" s="172">
        <f>G33+G36</f>
        <v>37100000</v>
      </c>
      <c r="H32" s="405">
        <f t="shared" si="0"/>
        <v>-5.4099062731492453E-2</v>
      </c>
    </row>
    <row r="33" spans="1:8" x14ac:dyDescent="0.25">
      <c r="A33" s="4" t="s">
        <v>25</v>
      </c>
      <c r="B33" s="70">
        <f t="shared" ref="B33:C33" si="9">+B34+B35</f>
        <v>31663149.460000001</v>
      </c>
      <c r="C33" s="70">
        <f t="shared" si="9"/>
        <v>33048363.390000001</v>
      </c>
      <c r="D33" s="171">
        <f>+D34+D35</f>
        <v>35050000</v>
      </c>
      <c r="E33" s="171">
        <f>+E34+E35</f>
        <v>35050000</v>
      </c>
      <c r="F33" s="171">
        <f>+F34+F35</f>
        <v>37709900.380000003</v>
      </c>
      <c r="G33" s="171">
        <f>+G34+G35</f>
        <v>35550000</v>
      </c>
      <c r="H33" s="405">
        <f t="shared" si="0"/>
        <v>-5.7276745847505306E-2</v>
      </c>
    </row>
    <row r="34" spans="1:8" x14ac:dyDescent="0.25">
      <c r="A34" s="5" t="s">
        <v>26</v>
      </c>
      <c r="B34" s="397">
        <v>19426861.66</v>
      </c>
      <c r="C34" s="397">
        <v>19965354.210000001</v>
      </c>
      <c r="D34" s="398">
        <v>21600000</v>
      </c>
      <c r="E34" s="398">
        <v>21600000</v>
      </c>
      <c r="F34" s="398">
        <v>22757291.550000001</v>
      </c>
      <c r="G34" s="398">
        <v>22700000</v>
      </c>
      <c r="H34" s="405">
        <f t="shared" si="0"/>
        <v>-2.5175030110294871E-3</v>
      </c>
    </row>
    <row r="35" spans="1:8" x14ac:dyDescent="0.25">
      <c r="A35" s="5" t="s">
        <v>27</v>
      </c>
      <c r="B35" s="397">
        <v>12236287.800000001</v>
      </c>
      <c r="C35" s="397">
        <v>13083009.18</v>
      </c>
      <c r="D35" s="398">
        <v>13450000</v>
      </c>
      <c r="E35" s="398">
        <v>13450000</v>
      </c>
      <c r="F35" s="398">
        <v>14952608.83</v>
      </c>
      <c r="G35" s="398">
        <v>12850000</v>
      </c>
      <c r="H35" s="405">
        <f t="shared" si="0"/>
        <v>-0.14061819271172626</v>
      </c>
    </row>
    <row r="36" spans="1:8" ht="26.4" x14ac:dyDescent="0.25">
      <c r="A36" s="4" t="s">
        <v>28</v>
      </c>
      <c r="B36" s="70">
        <v>1171623.6399999999</v>
      </c>
      <c r="C36" s="70">
        <v>1419160.25</v>
      </c>
      <c r="D36" s="171">
        <v>1550000</v>
      </c>
      <c r="E36" s="171">
        <v>1550000</v>
      </c>
      <c r="F36" s="171">
        <v>1511965.82</v>
      </c>
      <c r="G36" s="171">
        <v>1550000</v>
      </c>
      <c r="H36" s="405">
        <f t="shared" si="0"/>
        <v>2.5155449611949487E-2</v>
      </c>
    </row>
    <row r="37" spans="1:8" x14ac:dyDescent="0.25">
      <c r="A37" s="3" t="s">
        <v>29</v>
      </c>
      <c r="B37" s="76">
        <f t="shared" ref="B37:C37" si="10">B38+B39+B40</f>
        <v>72637964.170000002</v>
      </c>
      <c r="C37" s="76">
        <f t="shared" si="10"/>
        <v>69975411.409999996</v>
      </c>
      <c r="D37" s="172">
        <f>D38+D39+D40</f>
        <v>64600000</v>
      </c>
      <c r="E37" s="172">
        <f>E38+E39+E40</f>
        <v>68990000</v>
      </c>
      <c r="F37" s="172">
        <f>F38+F39+F40</f>
        <v>71993515.709999993</v>
      </c>
      <c r="G37" s="172">
        <f>G38+G39+G40</f>
        <v>74009040</v>
      </c>
      <c r="H37" s="405">
        <f t="shared" si="0"/>
        <v>2.7995914217036288E-2</v>
      </c>
    </row>
    <row r="38" spans="1:8" x14ac:dyDescent="0.25">
      <c r="A38" s="406" t="s">
        <v>194</v>
      </c>
      <c r="B38" s="70">
        <v>1340109.76</v>
      </c>
      <c r="C38" s="70">
        <v>1817881.34</v>
      </c>
      <c r="D38" s="171">
        <v>2200000</v>
      </c>
      <c r="E38" s="171">
        <v>2200000</v>
      </c>
      <c r="F38" s="171">
        <v>2264253.69</v>
      </c>
      <c r="G38" s="171">
        <v>2400000</v>
      </c>
      <c r="H38" s="405">
        <f t="shared" si="0"/>
        <v>5.9951899647781914E-2</v>
      </c>
    </row>
    <row r="39" spans="1:8" x14ac:dyDescent="0.25">
      <c r="A39" s="4" t="s">
        <v>30</v>
      </c>
      <c r="B39" s="70">
        <v>58142893.840000004</v>
      </c>
      <c r="C39" s="70">
        <v>59267446.359999999</v>
      </c>
      <c r="D39" s="171">
        <v>58400000</v>
      </c>
      <c r="E39" s="171">
        <v>58400000</v>
      </c>
      <c r="F39" s="171">
        <v>61338588.829999998</v>
      </c>
      <c r="G39" s="171">
        <v>66400000</v>
      </c>
      <c r="H39" s="405">
        <f t="shared" si="0"/>
        <v>8.2515937626600921E-2</v>
      </c>
    </row>
    <row r="40" spans="1:8" x14ac:dyDescent="0.25">
      <c r="A40" s="4" t="s">
        <v>31</v>
      </c>
      <c r="B40" s="70">
        <v>13154960.57</v>
      </c>
      <c r="C40" s="70">
        <v>8890083.7100000009</v>
      </c>
      <c r="D40" s="171">
        <v>4000000</v>
      </c>
      <c r="E40" s="171">
        <v>8390000</v>
      </c>
      <c r="F40" s="171">
        <v>8390673.1899999995</v>
      </c>
      <c r="G40" s="171">
        <f>1700000+1116770-1807730+(3000000+1200000)</f>
        <v>5209040</v>
      </c>
      <c r="H40" s="405">
        <f t="shared" si="0"/>
        <v>-0.37918688023648306</v>
      </c>
    </row>
    <row r="41" spans="1:8" x14ac:dyDescent="0.25">
      <c r="A41" s="3" t="s">
        <v>32</v>
      </c>
      <c r="B41" s="76">
        <f t="shared" ref="B41:C41" si="11">SUM(B42:B47)</f>
        <v>4009789.1399999997</v>
      </c>
      <c r="C41" s="76">
        <f t="shared" si="11"/>
        <v>4127263.5999999996</v>
      </c>
      <c r="D41" s="172">
        <f>SUM(D42:D47)</f>
        <v>8650000</v>
      </c>
      <c r="E41" s="172">
        <f>SUM(E42:E47)</f>
        <v>6439270</v>
      </c>
      <c r="F41" s="172">
        <f>SUM(F42:F47)</f>
        <v>4815824.3900000006</v>
      </c>
      <c r="G41" s="172">
        <f>SUM(G42:G47)</f>
        <v>19839500</v>
      </c>
      <c r="H41" s="405">
        <f t="shared" si="0"/>
        <v>3.1196477266065754</v>
      </c>
    </row>
    <row r="42" spans="1:8" x14ac:dyDescent="0.25">
      <c r="A42" s="4" t="s">
        <v>32</v>
      </c>
      <c r="B42" s="70">
        <v>2165267.92</v>
      </c>
      <c r="C42" s="70">
        <v>2318629.19</v>
      </c>
      <c r="D42" s="171">
        <v>2400000</v>
      </c>
      <c r="E42" s="171">
        <v>2400000</v>
      </c>
      <c r="F42" s="171">
        <v>2793079.48</v>
      </c>
      <c r="G42" s="171">
        <v>2700000</v>
      </c>
      <c r="H42" s="405">
        <f t="shared" si="0"/>
        <v>-3.3325038068734103E-2</v>
      </c>
    </row>
    <row r="43" spans="1:8" ht="26.4" hidden="1" x14ac:dyDescent="0.25">
      <c r="A43" s="4" t="s">
        <v>33</v>
      </c>
      <c r="B43" s="70"/>
      <c r="C43" s="70"/>
      <c r="D43" s="171"/>
      <c r="E43" s="171"/>
      <c r="F43" s="171"/>
      <c r="G43" s="171"/>
      <c r="H43" s="405" t="e">
        <f t="shared" si="0"/>
        <v>#DIV/0!</v>
      </c>
    </row>
    <row r="44" spans="1:8" ht="26.4" x14ac:dyDescent="0.25">
      <c r="A44" s="4" t="s">
        <v>34</v>
      </c>
      <c r="B44" s="70">
        <v>1753384.22</v>
      </c>
      <c r="C44" s="70">
        <v>1784634.41</v>
      </c>
      <c r="D44" s="171">
        <v>2250000</v>
      </c>
      <c r="E44" s="171">
        <v>2250000</v>
      </c>
      <c r="F44" s="171">
        <v>2001234.47</v>
      </c>
      <c r="G44" s="171">
        <f>3485000/32*22.4</f>
        <v>2439500</v>
      </c>
      <c r="H44" s="405">
        <f t="shared" si="0"/>
        <v>0.21899759202128877</v>
      </c>
    </row>
    <row r="45" spans="1:8" hidden="1" x14ac:dyDescent="0.25">
      <c r="A45" s="4" t="s">
        <v>35</v>
      </c>
      <c r="B45" s="70"/>
      <c r="C45" s="70">
        <v>100</v>
      </c>
      <c r="D45" s="171"/>
      <c r="E45" s="171"/>
      <c r="F45" s="171"/>
      <c r="G45" s="171"/>
      <c r="H45" s="405" t="e">
        <f t="shared" si="0"/>
        <v>#DIV/0!</v>
      </c>
    </row>
    <row r="46" spans="1:8" ht="26.4" x14ac:dyDescent="0.25">
      <c r="A46" s="4" t="s">
        <v>36</v>
      </c>
      <c r="B46" s="70">
        <v>91137</v>
      </c>
      <c r="C46" s="70">
        <v>23900</v>
      </c>
      <c r="D46" s="171"/>
      <c r="E46" s="171">
        <v>20510</v>
      </c>
      <c r="F46" s="171">
        <v>21510.44</v>
      </c>
      <c r="G46" s="171"/>
      <c r="H46" s="405">
        <f t="shared" si="0"/>
        <v>-1</v>
      </c>
    </row>
    <row r="47" spans="1:8" ht="26.4" x14ac:dyDescent="0.25">
      <c r="A47" s="4" t="s">
        <v>37</v>
      </c>
      <c r="B47" s="70"/>
      <c r="C47" s="70"/>
      <c r="D47" s="171">
        <v>4000000</v>
      </c>
      <c r="E47" s="171">
        <v>1768760</v>
      </c>
      <c r="F47" s="171"/>
      <c r="G47" s="171">
        <v>14700000</v>
      </c>
      <c r="H47" s="405"/>
    </row>
    <row r="48" spans="1:8" ht="26.4" hidden="1" x14ac:dyDescent="0.25">
      <c r="A48" s="3" t="s">
        <v>38</v>
      </c>
      <c r="B48" s="76"/>
      <c r="C48" s="76"/>
      <c r="D48" s="172"/>
      <c r="E48" s="172"/>
      <c r="F48" s="172"/>
      <c r="G48" s="172"/>
      <c r="H48" s="405" t="e">
        <f t="shared" si="0"/>
        <v>#DIV/0!</v>
      </c>
    </row>
    <row r="49" spans="1:8" hidden="1" x14ac:dyDescent="0.25">
      <c r="A49" s="4" t="s">
        <v>39</v>
      </c>
      <c r="B49" s="70"/>
      <c r="C49" s="70"/>
      <c r="D49" s="171"/>
      <c r="E49" s="171"/>
      <c r="F49" s="171"/>
      <c r="G49" s="171"/>
      <c r="H49" s="405" t="e">
        <f t="shared" si="0"/>
        <v>#DIV/0!</v>
      </c>
    </row>
    <row r="50" spans="1:8" hidden="1" x14ac:dyDescent="0.25">
      <c r="A50" s="4" t="s">
        <v>40</v>
      </c>
      <c r="B50" s="70"/>
      <c r="C50" s="70"/>
      <c r="D50" s="171"/>
      <c r="E50" s="171"/>
      <c r="F50" s="171"/>
      <c r="G50" s="171"/>
      <c r="H50" s="405" t="e">
        <f t="shared" si="0"/>
        <v>#DIV/0!</v>
      </c>
    </row>
    <row r="51" spans="1:8" x14ac:dyDescent="0.25">
      <c r="A51" s="3" t="s">
        <v>41</v>
      </c>
      <c r="B51" s="76">
        <f t="shared" ref="B51" si="12">+B52+B53</f>
        <v>13647154.450000001</v>
      </c>
      <c r="C51" s="76">
        <f>+C52+C53</f>
        <v>14076568.310000001</v>
      </c>
      <c r="D51" s="172">
        <f>+D52+D53</f>
        <v>14250000</v>
      </c>
      <c r="E51" s="172">
        <f>+E52+E53</f>
        <v>14250000</v>
      </c>
      <c r="F51" s="172">
        <f>+F52+F53</f>
        <v>14187168.310000001</v>
      </c>
      <c r="G51" s="172">
        <f>+G52+G53</f>
        <v>16160000</v>
      </c>
      <c r="H51" s="405">
        <f t="shared" si="0"/>
        <v>0.13905746706405275</v>
      </c>
    </row>
    <row r="52" spans="1:8" ht="26.4" x14ac:dyDescent="0.25">
      <c r="A52" s="4" t="s">
        <v>42</v>
      </c>
      <c r="B52" s="70">
        <v>13411221.49</v>
      </c>
      <c r="C52" s="70">
        <v>13809328.41</v>
      </c>
      <c r="D52" s="171">
        <v>14000000</v>
      </c>
      <c r="E52" s="171">
        <v>14000000</v>
      </c>
      <c r="F52" s="171">
        <v>14030395.460000001</v>
      </c>
      <c r="G52" s="171">
        <v>16000000</v>
      </c>
      <c r="H52" s="405">
        <f t="shared" si="0"/>
        <v>0.14038125622440578</v>
      </c>
    </row>
    <row r="53" spans="1:8" x14ac:dyDescent="0.25">
      <c r="A53" s="4" t="s">
        <v>43</v>
      </c>
      <c r="B53" s="70">
        <v>235932.96</v>
      </c>
      <c r="C53" s="70">
        <v>267239.90000000002</v>
      </c>
      <c r="D53" s="171">
        <v>250000</v>
      </c>
      <c r="E53" s="171">
        <v>250000</v>
      </c>
      <c r="F53" s="171">
        <v>156772.85</v>
      </c>
      <c r="G53" s="171">
        <v>160000</v>
      </c>
      <c r="H53" s="405">
        <f t="shared" si="0"/>
        <v>2.0584878057648304E-2</v>
      </c>
    </row>
    <row r="54" spans="1:8" x14ac:dyDescent="0.25">
      <c r="A54" s="3" t="s">
        <v>44</v>
      </c>
      <c r="B54" s="76">
        <f t="shared" ref="B54:C54" si="13">B55+B56+B57+B58+B59+B61+B60</f>
        <v>39286575.18</v>
      </c>
      <c r="C54" s="76">
        <f t="shared" si="13"/>
        <v>76114515.129999995</v>
      </c>
      <c r="D54" s="172">
        <f>D55+D56+D57+D58+D59+D61+D60</f>
        <v>85142850</v>
      </c>
      <c r="E54" s="172">
        <f>E55+E56+E57+E58+E59+E61+E60</f>
        <v>72231350</v>
      </c>
      <c r="F54" s="172">
        <f>F55+F56+F57+F58+F59+F61+F60</f>
        <v>43679520.350000001</v>
      </c>
      <c r="G54" s="172">
        <f>G55+G56+G57+G58+G59+G61+G60</f>
        <v>72588600</v>
      </c>
      <c r="H54" s="405">
        <f t="shared" si="0"/>
        <v>0.66184517179571078</v>
      </c>
    </row>
    <row r="55" spans="1:8" x14ac:dyDescent="0.25">
      <c r="A55" s="4" t="s">
        <v>45</v>
      </c>
      <c r="B55" s="70">
        <v>733</v>
      </c>
      <c r="C55" s="70">
        <v>1803.14</v>
      </c>
      <c r="D55" s="171"/>
      <c r="E55" s="171">
        <v>73950</v>
      </c>
      <c r="F55" s="171">
        <v>77208.539999999994</v>
      </c>
      <c r="G55" s="171"/>
      <c r="H55" s="405">
        <f t="shared" si="0"/>
        <v>-1</v>
      </c>
    </row>
    <row r="56" spans="1:8" x14ac:dyDescent="0.25">
      <c r="A56" s="4" t="s">
        <v>46</v>
      </c>
      <c r="B56" s="70">
        <v>2254652.9</v>
      </c>
      <c r="C56" s="70">
        <v>1515650.71</v>
      </c>
      <c r="D56" s="171">
        <v>1800000</v>
      </c>
      <c r="E56" s="171">
        <v>1800000</v>
      </c>
      <c r="F56" s="171">
        <v>1142889.3999999999</v>
      </c>
      <c r="G56" s="171">
        <v>1780000</v>
      </c>
      <c r="H56" s="405">
        <f t="shared" si="0"/>
        <v>0.55745604080324851</v>
      </c>
    </row>
    <row r="57" spans="1:8" ht="39.6" hidden="1" x14ac:dyDescent="0.25">
      <c r="A57" s="4" t="s">
        <v>195</v>
      </c>
      <c r="B57" s="70"/>
      <c r="C57" s="70"/>
      <c r="D57" s="171"/>
      <c r="E57" s="171"/>
      <c r="F57" s="171"/>
      <c r="G57" s="171"/>
      <c r="H57" s="405" t="e">
        <f t="shared" si="0"/>
        <v>#DIV/0!</v>
      </c>
    </row>
    <row r="58" spans="1:8" x14ac:dyDescent="0.25">
      <c r="A58" s="4" t="s">
        <v>47</v>
      </c>
      <c r="B58" s="70">
        <v>424205.38</v>
      </c>
      <c r="C58" s="70">
        <v>163978</v>
      </c>
      <c r="D58" s="171"/>
      <c r="E58" s="171">
        <v>108390</v>
      </c>
      <c r="F58" s="171">
        <v>108388.84</v>
      </c>
      <c r="G58" s="171"/>
      <c r="H58" s="405">
        <f t="shared" si="0"/>
        <v>-1</v>
      </c>
    </row>
    <row r="59" spans="1:8" ht="26.4" x14ac:dyDescent="0.25">
      <c r="A59" s="4" t="s">
        <v>172</v>
      </c>
      <c r="B59" s="70">
        <v>2640273.61</v>
      </c>
      <c r="C59" s="70">
        <v>18960.259999999998</v>
      </c>
      <c r="D59" s="171"/>
      <c r="E59" s="171">
        <v>189160</v>
      </c>
      <c r="F59" s="171">
        <v>189201.59</v>
      </c>
      <c r="G59" s="171"/>
      <c r="H59" s="405">
        <f t="shared" si="0"/>
        <v>-1</v>
      </c>
    </row>
    <row r="60" spans="1:8" ht="26.4" x14ac:dyDescent="0.25">
      <c r="A60" s="407" t="s">
        <v>166</v>
      </c>
      <c r="B60" s="70">
        <v>23088654.370000001</v>
      </c>
      <c r="C60" s="70">
        <v>62145503.890000001</v>
      </c>
      <c r="D60" s="171">
        <v>55559850</v>
      </c>
      <c r="E60" s="171">
        <v>55559850</v>
      </c>
      <c r="F60" s="171">
        <v>26170534.800000001</v>
      </c>
      <c r="G60" s="171">
        <f>67200000-9391400</f>
        <v>57808600</v>
      </c>
      <c r="H60" s="405">
        <f t="shared" si="0"/>
        <v>1.2089193225046357</v>
      </c>
    </row>
    <row r="61" spans="1:8" x14ac:dyDescent="0.25">
      <c r="A61" s="4" t="s">
        <v>48</v>
      </c>
      <c r="B61" s="70">
        <v>10878055.92</v>
      </c>
      <c r="C61" s="70">
        <v>12268619.130000001</v>
      </c>
      <c r="D61" s="171">
        <v>27783000</v>
      </c>
      <c r="E61" s="171">
        <v>14500000</v>
      </c>
      <c r="F61" s="171">
        <v>15991297.18</v>
      </c>
      <c r="G61" s="171">
        <f>16000000-3000000</f>
        <v>13000000</v>
      </c>
      <c r="H61" s="405">
        <f t="shared" si="0"/>
        <v>-0.18705781940824384</v>
      </c>
    </row>
    <row r="62" spans="1:8" x14ac:dyDescent="0.25">
      <c r="A62" s="3" t="s">
        <v>49</v>
      </c>
      <c r="B62" s="76">
        <f t="shared" ref="B62:C62" si="14">SUM(B63:B66)</f>
        <v>331976</v>
      </c>
      <c r="C62" s="76">
        <f t="shared" si="14"/>
        <v>133500</v>
      </c>
      <c r="D62" s="172">
        <f>SUM(D63:D66)</f>
        <v>17000</v>
      </c>
      <c r="E62" s="172">
        <f>SUM(E63:E66)</f>
        <v>143050</v>
      </c>
      <c r="F62" s="172">
        <f>SUM(F63:F66)</f>
        <v>149007</v>
      </c>
      <c r="G62" s="172">
        <f>SUM(G63:G66)</f>
        <v>20000</v>
      </c>
      <c r="H62" s="405">
        <f t="shared" si="0"/>
        <v>-0.86577811780654601</v>
      </c>
    </row>
    <row r="63" spans="1:8" x14ac:dyDescent="0.25">
      <c r="A63" s="4" t="s">
        <v>50</v>
      </c>
      <c r="B63" s="70">
        <v>323803</v>
      </c>
      <c r="C63" s="70">
        <f>150500-17000</f>
        <v>133500</v>
      </c>
      <c r="D63" s="171">
        <v>17000</v>
      </c>
      <c r="E63" s="171">
        <v>138500</v>
      </c>
      <c r="F63" s="171">
        <f>158500-20000</f>
        <v>138500</v>
      </c>
      <c r="G63" s="171">
        <v>20000</v>
      </c>
      <c r="H63" s="405">
        <f t="shared" si="0"/>
        <v>-0.85559566787003605</v>
      </c>
    </row>
    <row r="64" spans="1:8" ht="39.6" x14ac:dyDescent="0.25">
      <c r="A64" s="4" t="s">
        <v>51</v>
      </c>
      <c r="B64" s="70">
        <v>-296251870</v>
      </c>
      <c r="C64" s="70">
        <v>-153650000</v>
      </c>
      <c r="D64" s="171">
        <v>-196817150</v>
      </c>
      <c r="E64" s="171">
        <v>-174202560</v>
      </c>
      <c r="F64" s="171">
        <v>-174202560</v>
      </c>
      <c r="G64" s="171"/>
      <c r="H64" s="405">
        <f t="shared" si="0"/>
        <v>-1</v>
      </c>
    </row>
    <row r="65" spans="1:8" x14ac:dyDescent="0.25">
      <c r="A65" s="4" t="s">
        <v>52</v>
      </c>
      <c r="B65" s="70">
        <v>296251870</v>
      </c>
      <c r="C65" s="70">
        <v>153650000</v>
      </c>
      <c r="D65" s="171">
        <f>-D64</f>
        <v>196817150</v>
      </c>
      <c r="E65" s="171">
        <v>174202560</v>
      </c>
      <c r="F65" s="171">
        <v>174202560</v>
      </c>
      <c r="G65" s="171"/>
      <c r="H65" s="405">
        <f t="shared" si="0"/>
        <v>-1</v>
      </c>
    </row>
    <row r="66" spans="1:8" x14ac:dyDescent="0.25">
      <c r="A66" s="4" t="s">
        <v>53</v>
      </c>
      <c r="B66" s="70">
        <v>8173</v>
      </c>
      <c r="C66" s="70"/>
      <c r="D66" s="171"/>
      <c r="E66" s="171">
        <v>4550</v>
      </c>
      <c r="F66" s="171">
        <v>10507</v>
      </c>
      <c r="G66" s="171"/>
      <c r="H66" s="405">
        <f t="shared" si="0"/>
        <v>-1</v>
      </c>
    </row>
    <row r="67" spans="1:8" x14ac:dyDescent="0.25">
      <c r="A67" s="18" t="s">
        <v>54</v>
      </c>
      <c r="B67" s="76">
        <f t="shared" ref="B67:C67" si="15">B68+B69</f>
        <v>13006935.83</v>
      </c>
      <c r="C67" s="76">
        <f t="shared" si="15"/>
        <v>31445317.890000001</v>
      </c>
      <c r="D67" s="172">
        <f>D68+D69</f>
        <v>0</v>
      </c>
      <c r="E67" s="172">
        <f>E68+E69</f>
        <v>17689540</v>
      </c>
      <c r="F67" s="172">
        <f>F68+F69</f>
        <v>20797567.449999999</v>
      </c>
      <c r="G67" s="172">
        <f>G68+G69</f>
        <v>0</v>
      </c>
      <c r="H67" s="405">
        <f t="shared" si="0"/>
        <v>-1</v>
      </c>
    </row>
    <row r="68" spans="1:8" x14ac:dyDescent="0.25">
      <c r="A68" s="4" t="s">
        <v>55</v>
      </c>
      <c r="B68" s="70">
        <v>99455.6</v>
      </c>
      <c r="C68" s="70">
        <v>140045.47</v>
      </c>
      <c r="D68" s="171">
        <v>0</v>
      </c>
      <c r="E68" s="171">
        <v>175780</v>
      </c>
      <c r="F68" s="171">
        <v>212721.37</v>
      </c>
      <c r="G68" s="171"/>
      <c r="H68" s="405">
        <f t="shared" si="0"/>
        <v>-1</v>
      </c>
    </row>
    <row r="69" spans="1:8" ht="26.4" x14ac:dyDescent="0.25">
      <c r="A69" s="4" t="s">
        <v>56</v>
      </c>
      <c r="B69" s="70">
        <v>12907480.23</v>
      </c>
      <c r="C69" s="70">
        <v>31305272.420000002</v>
      </c>
      <c r="D69" s="171"/>
      <c r="E69" s="171">
        <v>17513760</v>
      </c>
      <c r="F69" s="171">
        <v>20584846.079999998</v>
      </c>
      <c r="G69" s="171"/>
      <c r="H69" s="405">
        <f t="shared" si="0"/>
        <v>-1</v>
      </c>
    </row>
    <row r="70" spans="1:8" ht="26.4" hidden="1" x14ac:dyDescent="0.25">
      <c r="A70" s="3" t="s">
        <v>185</v>
      </c>
      <c r="B70" s="76">
        <f>B71+B72</f>
        <v>0</v>
      </c>
      <c r="C70" s="76">
        <f>C71+C72</f>
        <v>0</v>
      </c>
      <c r="D70" s="172">
        <f>D71+D72</f>
        <v>0</v>
      </c>
      <c r="E70" s="172">
        <f>E71+E72</f>
        <v>0</v>
      </c>
      <c r="F70" s="172">
        <f>F71+F72+F73</f>
        <v>0</v>
      </c>
      <c r="G70" s="172"/>
      <c r="H70" s="405"/>
    </row>
    <row r="71" spans="1:8" ht="39.6" hidden="1" x14ac:dyDescent="0.25">
      <c r="A71" s="4" t="s">
        <v>186</v>
      </c>
      <c r="B71" s="70"/>
      <c r="C71" s="70">
        <f>16000000-16000000</f>
        <v>0</v>
      </c>
      <c r="D71" s="171"/>
      <c r="E71" s="171"/>
      <c r="F71" s="171">
        <v>0</v>
      </c>
      <c r="G71" s="171"/>
      <c r="H71" s="405"/>
    </row>
    <row r="72" spans="1:8" ht="39.6" hidden="1" x14ac:dyDescent="0.25">
      <c r="A72" s="4" t="s">
        <v>187</v>
      </c>
      <c r="B72" s="70"/>
      <c r="C72" s="70">
        <f>46000000-46000000</f>
        <v>0</v>
      </c>
      <c r="D72" s="171"/>
      <c r="E72" s="171"/>
      <c r="F72" s="171">
        <f>57502294.63-57502294.63</f>
        <v>0</v>
      </c>
      <c r="G72" s="171"/>
      <c r="H72" s="405"/>
    </row>
    <row r="73" spans="1:8" ht="26.4" hidden="1" x14ac:dyDescent="0.25">
      <c r="A73" s="408" t="s">
        <v>250</v>
      </c>
      <c r="B73" s="70"/>
      <c r="C73" s="70"/>
      <c r="D73" s="171"/>
      <c r="E73" s="171"/>
      <c r="F73" s="171">
        <v>0</v>
      </c>
      <c r="G73" s="171"/>
      <c r="H73" s="405"/>
    </row>
    <row r="74" spans="1:8" x14ac:dyDescent="0.25">
      <c r="A74" s="3" t="s">
        <v>57</v>
      </c>
      <c r="B74" s="76">
        <f>B75+B76+B77+B78+B79+B80+B81+B82+B84+B85+B86+B87+B88+B89+B90+B91+B92+B93+B94+B95</f>
        <v>83917301.820000008</v>
      </c>
      <c r="C74" s="76">
        <f>C75+C76+C77+C78+C79+C80+C81+C82+C84+C85+C86+C87+C88+C89+C90+C91+C92+C93+C94+C95</f>
        <v>152939230.62999997</v>
      </c>
      <c r="D74" s="172">
        <f>D75+D76+D77+D78+D79+D80+D81+D82+D83+D84+D85+D86+D87+D88+D89+D90+D91+D92+D93+D94+D95</f>
        <v>1324467460</v>
      </c>
      <c r="E74" s="172">
        <f>E75+E76+E77+E78+E79+E80+E81+E82+E83+E84+E85+E86+E87+E88+E89+E90+E91+E92+E93+E94+E95</f>
        <v>1320710130</v>
      </c>
      <c r="F74" s="172">
        <f>F75+F76+F77+F78+F79+F80+F81+F82+F83+F84+F85+F86+F87+F88+F89+F90+F91+F92+F93+F94+F95</f>
        <v>486384128.23000002</v>
      </c>
      <c r="G74" s="172">
        <f>G75+G76+G77+G78+G79+G80+G81+G82+G83+G84+G85+G86+G87+G88+G89+G90+G91+G92+G93+G94+G95</f>
        <v>574141350</v>
      </c>
      <c r="H74" s="405">
        <f t="shared" ref="H74:H126" si="16">G74/F74-1</f>
        <v>0.18042780731632257</v>
      </c>
    </row>
    <row r="75" spans="1:8" ht="26.4" x14ac:dyDescent="0.25">
      <c r="A75" s="4" t="s">
        <v>58</v>
      </c>
      <c r="B75" s="70">
        <v>5051468.25</v>
      </c>
      <c r="C75" s="70">
        <v>12283039.83</v>
      </c>
      <c r="D75" s="171">
        <v>147493840</v>
      </c>
      <c r="E75" s="171">
        <v>172477640</v>
      </c>
      <c r="F75" s="171">
        <v>177348152.94999999</v>
      </c>
      <c r="G75" s="171"/>
      <c r="H75" s="405">
        <f t="shared" si="16"/>
        <v>-1</v>
      </c>
    </row>
    <row r="76" spans="1:8" ht="52.8" x14ac:dyDescent="0.25">
      <c r="A76" s="4" t="s">
        <v>159</v>
      </c>
      <c r="B76" s="70">
        <v>15711000</v>
      </c>
      <c r="C76" s="70">
        <v>18479000</v>
      </c>
      <c r="D76" s="171"/>
      <c r="E76" s="171">
        <v>6772000</v>
      </c>
      <c r="F76" s="171">
        <v>6772000</v>
      </c>
      <c r="G76" s="171"/>
      <c r="H76" s="405">
        <f t="shared" si="16"/>
        <v>-1</v>
      </c>
    </row>
    <row r="77" spans="1:8" ht="39.6" hidden="1" x14ac:dyDescent="0.25">
      <c r="A77" s="4" t="s">
        <v>160</v>
      </c>
      <c r="B77" s="70"/>
      <c r="C77" s="70"/>
      <c r="D77" s="171"/>
      <c r="E77" s="171"/>
      <c r="F77" s="171"/>
      <c r="G77" s="171"/>
      <c r="H77" s="405" t="e">
        <f t="shared" si="16"/>
        <v>#DIV/0!</v>
      </c>
    </row>
    <row r="78" spans="1:8" ht="39.6" hidden="1" x14ac:dyDescent="0.25">
      <c r="A78" s="4" t="s">
        <v>59</v>
      </c>
      <c r="B78" s="70"/>
      <c r="C78" s="70"/>
      <c r="D78" s="171"/>
      <c r="E78" s="171"/>
      <c r="F78" s="171"/>
      <c r="G78" s="171"/>
      <c r="H78" s="405" t="e">
        <f t="shared" si="16"/>
        <v>#DIV/0!</v>
      </c>
    </row>
    <row r="79" spans="1:8" hidden="1" x14ac:dyDescent="0.25">
      <c r="A79" s="7" t="s">
        <v>60</v>
      </c>
      <c r="B79" s="70"/>
      <c r="C79" s="70"/>
      <c r="D79" s="171"/>
      <c r="E79" s="171"/>
      <c r="F79" s="171"/>
      <c r="G79" s="171"/>
      <c r="H79" s="405" t="e">
        <f t="shared" si="16"/>
        <v>#DIV/0!</v>
      </c>
    </row>
    <row r="80" spans="1:8" ht="26.4" hidden="1" x14ac:dyDescent="0.25">
      <c r="A80" s="7" t="s">
        <v>181</v>
      </c>
      <c r="B80" s="70"/>
      <c r="C80" s="70"/>
      <c r="D80" s="171"/>
      <c r="E80" s="171"/>
      <c r="F80" s="171"/>
      <c r="G80" s="171"/>
      <c r="H80" s="405" t="e">
        <f t="shared" si="16"/>
        <v>#DIV/0!</v>
      </c>
    </row>
    <row r="81" spans="1:8" ht="26.4" x14ac:dyDescent="0.25">
      <c r="A81" s="4" t="s">
        <v>61</v>
      </c>
      <c r="B81" s="70">
        <v>321508</v>
      </c>
      <c r="C81" s="70">
        <v>354660</v>
      </c>
      <c r="D81" s="171">
        <v>390000</v>
      </c>
      <c r="E81" s="171">
        <v>390000</v>
      </c>
      <c r="F81" s="171">
        <v>342156</v>
      </c>
      <c r="G81" s="171">
        <v>490100</v>
      </c>
      <c r="H81" s="405">
        <f t="shared" si="16"/>
        <v>0.43238756590561023</v>
      </c>
    </row>
    <row r="82" spans="1:8" x14ac:dyDescent="0.25">
      <c r="A82" s="7" t="s">
        <v>62</v>
      </c>
      <c r="B82" s="70">
        <v>54817</v>
      </c>
      <c r="C82" s="70">
        <v>30433</v>
      </c>
      <c r="D82" s="171">
        <v>68900</v>
      </c>
      <c r="E82" s="171">
        <v>68900</v>
      </c>
      <c r="F82" s="171">
        <v>55984</v>
      </c>
      <c r="G82" s="171">
        <f>65600</f>
        <v>65600</v>
      </c>
      <c r="H82" s="405">
        <f t="shared" si="16"/>
        <v>0.17176336096027445</v>
      </c>
    </row>
    <row r="83" spans="1:8" ht="52.8" x14ac:dyDescent="0.25">
      <c r="A83" s="7" t="s">
        <v>255</v>
      </c>
      <c r="B83" s="70"/>
      <c r="C83" s="70"/>
      <c r="D83" s="171"/>
      <c r="E83" s="171">
        <v>1126000</v>
      </c>
      <c r="F83" s="171">
        <v>3055404.54</v>
      </c>
      <c r="G83" s="171"/>
      <c r="H83" s="405">
        <f t="shared" si="16"/>
        <v>-1</v>
      </c>
    </row>
    <row r="84" spans="1:8" ht="26.4" hidden="1" x14ac:dyDescent="0.25">
      <c r="A84" s="7" t="s">
        <v>222</v>
      </c>
      <c r="B84" s="70">
        <v>0</v>
      </c>
      <c r="C84" s="70">
        <v>49025933.439999998</v>
      </c>
      <c r="D84" s="171"/>
      <c r="E84" s="171"/>
      <c r="F84" s="171"/>
      <c r="G84" s="171"/>
      <c r="H84" s="405" t="e">
        <f t="shared" si="16"/>
        <v>#DIV/0!</v>
      </c>
    </row>
    <row r="85" spans="1:8" ht="39.6" x14ac:dyDescent="0.25">
      <c r="A85" s="7" t="s">
        <v>206</v>
      </c>
      <c r="B85" s="70">
        <v>8165334</v>
      </c>
      <c r="C85" s="70">
        <f>11528565-9164.66</f>
        <v>11519400.34</v>
      </c>
      <c r="D85" s="171">
        <v>13804410</v>
      </c>
      <c r="E85" s="171">
        <v>13804410</v>
      </c>
      <c r="F85" s="171">
        <f>12623338-15591</f>
        <v>12607747</v>
      </c>
      <c r="G85" s="171">
        <f>13173260+350000</f>
        <v>13523260</v>
      </c>
      <c r="H85" s="405">
        <f t="shared" si="16"/>
        <v>7.2615115135162611E-2</v>
      </c>
    </row>
    <row r="86" spans="1:8" ht="66" x14ac:dyDescent="0.25">
      <c r="A86" s="7" t="s">
        <v>63</v>
      </c>
      <c r="B86" s="70">
        <v>44525320.200000003</v>
      </c>
      <c r="C86" s="70">
        <v>51200944.159999996</v>
      </c>
      <c r="D86" s="171">
        <v>8250000</v>
      </c>
      <c r="E86" s="171">
        <v>8250000</v>
      </c>
      <c r="F86" s="171">
        <v>10961393.869999999</v>
      </c>
      <c r="G86" s="171"/>
      <c r="H86" s="405">
        <f t="shared" si="16"/>
        <v>-1</v>
      </c>
    </row>
    <row r="87" spans="1:8" ht="26.4" hidden="1" x14ac:dyDescent="0.25">
      <c r="A87" s="7" t="s">
        <v>169</v>
      </c>
      <c r="B87" s="70"/>
      <c r="C87" s="70"/>
      <c r="D87" s="171"/>
      <c r="E87" s="171"/>
      <c r="F87" s="171"/>
      <c r="G87" s="171"/>
      <c r="H87" s="405" t="e">
        <f t="shared" si="16"/>
        <v>#DIV/0!</v>
      </c>
    </row>
    <row r="88" spans="1:8" ht="39.6" x14ac:dyDescent="0.25">
      <c r="A88" s="7" t="s">
        <v>202</v>
      </c>
      <c r="B88" s="70">
        <v>5830251.1500000004</v>
      </c>
      <c r="C88" s="70"/>
      <c r="D88" s="171">
        <v>733931330</v>
      </c>
      <c r="E88" s="171">
        <v>867100500</v>
      </c>
      <c r="F88" s="171">
        <v>152222284.69</v>
      </c>
      <c r="G88" s="171">
        <f>(64496860-8841190)+120000000</f>
        <v>175655670</v>
      </c>
      <c r="H88" s="405">
        <f t="shared" si="16"/>
        <v>0.15394188411849141</v>
      </c>
    </row>
    <row r="89" spans="1:8" ht="39.6" x14ac:dyDescent="0.25">
      <c r="A89" s="7" t="s">
        <v>203</v>
      </c>
      <c r="B89" s="70">
        <v>1099650.83</v>
      </c>
      <c r="C89" s="70"/>
      <c r="D89" s="171">
        <v>98160930</v>
      </c>
      <c r="E89" s="171">
        <v>123263830</v>
      </c>
      <c r="F89" s="171">
        <v>31511231.98</v>
      </c>
      <c r="G89" s="171">
        <f>13544340+(41046080+21288180-2000000)</f>
        <v>73878600</v>
      </c>
      <c r="H89" s="405">
        <f t="shared" si="16"/>
        <v>1.3445163948807308</v>
      </c>
    </row>
    <row r="90" spans="1:8" ht="39.6" x14ac:dyDescent="0.25">
      <c r="A90" s="7" t="s">
        <v>242</v>
      </c>
      <c r="B90" s="70"/>
      <c r="C90" s="70">
        <v>3270600</v>
      </c>
      <c r="D90" s="171">
        <v>207443980</v>
      </c>
      <c r="E90" s="171">
        <v>45785530</v>
      </c>
      <c r="F90" s="171">
        <v>33755233.299999997</v>
      </c>
      <c r="G90" s="171">
        <v>155000000</v>
      </c>
      <c r="H90" s="405">
        <f t="shared" si="16"/>
        <v>3.5918805721896758</v>
      </c>
    </row>
    <row r="91" spans="1:8" ht="39.6" x14ac:dyDescent="0.25">
      <c r="A91" s="7" t="s">
        <v>243</v>
      </c>
      <c r="B91" s="70"/>
      <c r="C91" s="70"/>
      <c r="D91" s="171">
        <v>36000000</v>
      </c>
      <c r="E91" s="171">
        <v>23500000</v>
      </c>
      <c r="F91" s="171">
        <v>22733412</v>
      </c>
      <c r="G91" s="171"/>
      <c r="H91" s="405">
        <f t="shared" si="16"/>
        <v>-1</v>
      </c>
    </row>
    <row r="92" spans="1:8" ht="27.6" customHeight="1" x14ac:dyDescent="0.25">
      <c r="A92" s="7" t="s">
        <v>244</v>
      </c>
      <c r="B92" s="70"/>
      <c r="C92" s="70">
        <v>621414</v>
      </c>
      <c r="D92" s="171">
        <v>45074460</v>
      </c>
      <c r="E92" s="171">
        <v>45077030</v>
      </c>
      <c r="F92" s="171">
        <v>10756718.369999999</v>
      </c>
      <c r="G92" s="171">
        <f>41046080+41046080-3070130</f>
        <v>79022030</v>
      </c>
      <c r="H92" s="405">
        <f t="shared" si="16"/>
        <v>6.3462953367254524</v>
      </c>
    </row>
    <row r="93" spans="1:8" ht="82.8" hidden="1" x14ac:dyDescent="0.25">
      <c r="A93" s="409" t="s">
        <v>200</v>
      </c>
      <c r="B93" s="70">
        <v>2661892.6</v>
      </c>
      <c r="C93" s="70">
        <v>5173776.47</v>
      </c>
      <c r="D93" s="171"/>
      <c r="E93" s="171"/>
      <c r="F93" s="171">
        <v>0</v>
      </c>
      <c r="G93" s="171"/>
      <c r="H93" s="405" t="e">
        <f t="shared" si="16"/>
        <v>#DIV/0!</v>
      </c>
    </row>
    <row r="94" spans="1:8" ht="82.8" hidden="1" x14ac:dyDescent="0.25">
      <c r="A94" s="409" t="s">
        <v>201</v>
      </c>
      <c r="B94" s="70">
        <v>496059.79</v>
      </c>
      <c r="C94" s="70">
        <v>980029.39</v>
      </c>
      <c r="D94" s="171"/>
      <c r="E94" s="171"/>
      <c r="F94" s="171">
        <v>0</v>
      </c>
      <c r="G94" s="171"/>
      <c r="H94" s="405" t="e">
        <f t="shared" si="16"/>
        <v>#DIV/0!</v>
      </c>
    </row>
    <row r="95" spans="1:8" ht="52.8" x14ac:dyDescent="0.25">
      <c r="A95" s="410" t="s">
        <v>245</v>
      </c>
      <c r="B95" s="70">
        <v>0</v>
      </c>
      <c r="C95" s="70"/>
      <c r="D95" s="171">
        <v>33849610</v>
      </c>
      <c r="E95" s="171">
        <v>13094290</v>
      </c>
      <c r="F95" s="171">
        <v>24262409.530000001</v>
      </c>
      <c r="G95" s="171">
        <f>35500000+41006090</f>
        <v>76506090</v>
      </c>
      <c r="H95" s="405">
        <f t="shared" si="16"/>
        <v>2.1532766729290302</v>
      </c>
    </row>
    <row r="96" spans="1:8" x14ac:dyDescent="0.25">
      <c r="A96" s="3" t="s">
        <v>64</v>
      </c>
      <c r="B96" s="76">
        <f t="shared" ref="B96:C96" si="17">B97+B101+B102+B103</f>
        <v>1940254.42</v>
      </c>
      <c r="C96" s="76">
        <f t="shared" si="17"/>
        <v>356877.07999999996</v>
      </c>
      <c r="D96" s="172">
        <f>D97+D101+D102+D103+D104+D105+D106</f>
        <v>23697860</v>
      </c>
      <c r="E96" s="172">
        <f>E97+E101+E102+E103+E104+E105+E106</f>
        <v>3968100</v>
      </c>
      <c r="F96" s="172">
        <f>F97+F101+F102+F103+F104+F105+F106</f>
        <v>8976147.379999999</v>
      </c>
      <c r="G96" s="172">
        <f>G97+G101+G102+G103+G104+G105+G106</f>
        <v>17701130</v>
      </c>
      <c r="H96" s="405">
        <f t="shared" si="16"/>
        <v>0.97201864570989271</v>
      </c>
    </row>
    <row r="97" spans="1:8" ht="26.4" x14ac:dyDescent="0.25">
      <c r="A97" s="4" t="s">
        <v>65</v>
      </c>
      <c r="B97" s="70">
        <v>565000</v>
      </c>
      <c r="C97" s="70">
        <f>1493000-535981.66</f>
        <v>957018.34</v>
      </c>
      <c r="D97" s="171"/>
      <c r="E97" s="171">
        <v>1878000</v>
      </c>
      <c r="F97" s="171">
        <f>1878000-612963.33</f>
        <v>1265036.67</v>
      </c>
      <c r="G97" s="171"/>
      <c r="H97" s="405">
        <f t="shared" si="16"/>
        <v>-1</v>
      </c>
    </row>
    <row r="98" spans="1:8" ht="41.4" hidden="1" x14ac:dyDescent="0.25">
      <c r="A98" s="63" t="s">
        <v>170</v>
      </c>
      <c r="B98" s="70"/>
      <c r="C98" s="70"/>
      <c r="D98" s="171"/>
      <c r="E98" s="171"/>
      <c r="F98" s="171"/>
      <c r="G98" s="171"/>
      <c r="H98" s="405" t="e">
        <f t="shared" si="16"/>
        <v>#DIV/0!</v>
      </c>
    </row>
    <row r="99" spans="1:8" ht="39.6" hidden="1" x14ac:dyDescent="0.25">
      <c r="A99" s="4" t="s">
        <v>66</v>
      </c>
      <c r="B99" s="70"/>
      <c r="C99" s="70"/>
      <c r="D99" s="171"/>
      <c r="E99" s="171"/>
      <c r="F99" s="171"/>
      <c r="G99" s="171"/>
      <c r="H99" s="405" t="e">
        <f t="shared" si="16"/>
        <v>#DIV/0!</v>
      </c>
    </row>
    <row r="100" spans="1:8" ht="52.8" hidden="1" x14ac:dyDescent="0.25">
      <c r="A100" s="4" t="s">
        <v>67</v>
      </c>
      <c r="B100" s="70"/>
      <c r="C100" s="70"/>
      <c r="D100" s="171"/>
      <c r="E100" s="171"/>
      <c r="F100" s="171"/>
      <c r="G100" s="171"/>
      <c r="H100" s="405" t="e">
        <f t="shared" si="16"/>
        <v>#DIV/0!</v>
      </c>
    </row>
    <row r="101" spans="1:8" ht="26.4" x14ac:dyDescent="0.25">
      <c r="A101" s="4" t="s">
        <v>215</v>
      </c>
      <c r="B101" s="70">
        <v>1363200</v>
      </c>
      <c r="C101" s="70">
        <v>-657600</v>
      </c>
      <c r="D101" s="171"/>
      <c r="E101" s="171"/>
      <c r="F101" s="171">
        <v>-7200</v>
      </c>
      <c r="G101" s="171"/>
      <c r="H101" s="405">
        <f t="shared" si="16"/>
        <v>-1</v>
      </c>
    </row>
    <row r="102" spans="1:8" ht="39.6" x14ac:dyDescent="0.25">
      <c r="A102" s="69" t="s">
        <v>173</v>
      </c>
      <c r="B102" s="70">
        <v>12054.42</v>
      </c>
      <c r="C102" s="70">
        <v>57458.74</v>
      </c>
      <c r="D102" s="171"/>
      <c r="E102" s="171">
        <v>56800</v>
      </c>
      <c r="F102" s="171">
        <v>56795.57</v>
      </c>
      <c r="G102" s="171"/>
      <c r="H102" s="405">
        <f t="shared" si="16"/>
        <v>-1</v>
      </c>
    </row>
    <row r="103" spans="1:8" ht="52.8" x14ac:dyDescent="0.25">
      <c r="A103" s="69" t="s">
        <v>175</v>
      </c>
      <c r="B103" s="70"/>
      <c r="C103" s="70"/>
      <c r="D103" s="171">
        <v>2033300</v>
      </c>
      <c r="E103" s="171">
        <v>2033300</v>
      </c>
      <c r="F103" s="171">
        <v>7576988.29</v>
      </c>
      <c r="G103" s="171"/>
      <c r="H103" s="405">
        <f t="shared" si="16"/>
        <v>-1</v>
      </c>
    </row>
    <row r="104" spans="1:8" ht="26.4" x14ac:dyDescent="0.25">
      <c r="A104" s="69" t="s">
        <v>240</v>
      </c>
      <c r="B104" s="70"/>
      <c r="C104" s="70"/>
      <c r="D104" s="171">
        <v>21664560</v>
      </c>
      <c r="E104" s="171">
        <v>0</v>
      </c>
      <c r="F104" s="171"/>
      <c r="G104" s="171"/>
      <c r="H104" s="405"/>
    </row>
    <row r="105" spans="1:8" x14ac:dyDescent="0.25">
      <c r="A105" s="411" t="s">
        <v>256</v>
      </c>
      <c r="B105" s="70"/>
      <c r="C105" s="70"/>
      <c r="D105" s="171"/>
      <c r="E105" s="171"/>
      <c r="F105" s="171">
        <v>71030.95</v>
      </c>
      <c r="G105" s="171">
        <v>14631000</v>
      </c>
      <c r="H105" s="405">
        <f t="shared" si="16"/>
        <v>204.98063238630485</v>
      </c>
    </row>
    <row r="106" spans="1:8" x14ac:dyDescent="0.25">
      <c r="A106" s="411" t="s">
        <v>257</v>
      </c>
      <c r="B106" s="70"/>
      <c r="C106" s="70"/>
      <c r="D106" s="171"/>
      <c r="E106" s="171"/>
      <c r="F106" s="171">
        <v>13495.9</v>
      </c>
      <c r="G106" s="171">
        <v>3070130</v>
      </c>
      <c r="H106" s="405">
        <f t="shared" si="16"/>
        <v>226.48612541586704</v>
      </c>
    </row>
    <row r="107" spans="1:8" x14ac:dyDescent="0.25">
      <c r="A107" s="9" t="s">
        <v>68</v>
      </c>
      <c r="B107" s="76">
        <f>B108</f>
        <v>0</v>
      </c>
      <c r="C107" s="76">
        <f>C108</f>
        <v>0</v>
      </c>
      <c r="D107" s="172">
        <f>D108+D112</f>
        <v>123360190</v>
      </c>
      <c r="E107" s="172">
        <f>E108+E112</f>
        <v>128735120</v>
      </c>
      <c r="F107" s="172">
        <f>F108+F112</f>
        <v>65075605.310000002</v>
      </c>
      <c r="G107" s="172">
        <f>G108+G112</f>
        <v>195718530</v>
      </c>
      <c r="H107" s="405">
        <f t="shared" si="16"/>
        <v>2.0075560429696755</v>
      </c>
    </row>
    <row r="108" spans="1:8" x14ac:dyDescent="0.25">
      <c r="A108" s="10" t="s">
        <v>69</v>
      </c>
      <c r="B108" s="399">
        <f>B109+B110</f>
        <v>0</v>
      </c>
      <c r="C108" s="399">
        <f>C109+C110</f>
        <v>0</v>
      </c>
      <c r="D108" s="400">
        <f>D109+D110+D111</f>
        <v>107187350</v>
      </c>
      <c r="E108" s="400">
        <f>E109+E110+E111</f>
        <v>112562280</v>
      </c>
      <c r="F108" s="400">
        <f>F109+F110+F111</f>
        <v>65075605.310000002</v>
      </c>
      <c r="G108" s="400">
        <f>G109+G110+G111</f>
        <v>105718530</v>
      </c>
      <c r="H108" s="405">
        <f t="shared" si="16"/>
        <v>0.62454931454559204</v>
      </c>
    </row>
    <row r="109" spans="1:8" x14ac:dyDescent="0.25">
      <c r="A109" s="7" t="s">
        <v>70</v>
      </c>
      <c r="B109" s="70"/>
      <c r="C109" s="70"/>
      <c r="D109" s="171"/>
      <c r="E109" s="171"/>
      <c r="F109" s="171"/>
      <c r="G109" s="171"/>
      <c r="H109" s="405" t="e">
        <f t="shared" si="16"/>
        <v>#DIV/0!</v>
      </c>
    </row>
    <row r="110" spans="1:8" ht="26.4" x14ac:dyDescent="0.25">
      <c r="A110" s="7" t="s">
        <v>73</v>
      </c>
      <c r="B110" s="70"/>
      <c r="C110" s="70"/>
      <c r="D110" s="171">
        <v>107187350</v>
      </c>
      <c r="E110" s="171">
        <v>112562280</v>
      </c>
      <c r="F110" s="171">
        <v>57920092.420000002</v>
      </c>
      <c r="G110" s="171">
        <v>105718530</v>
      </c>
      <c r="H110" s="405">
        <f t="shared" si="16"/>
        <v>0.82524795080428848</v>
      </c>
    </row>
    <row r="111" spans="1:8" ht="26.4" x14ac:dyDescent="0.25">
      <c r="A111" s="7" t="s">
        <v>252</v>
      </c>
      <c r="B111" s="70"/>
      <c r="C111" s="70"/>
      <c r="D111" s="171"/>
      <c r="E111" s="171"/>
      <c r="F111" s="171">
        <v>7155512.8899999997</v>
      </c>
      <c r="G111" s="171"/>
      <c r="H111" s="405">
        <f t="shared" si="16"/>
        <v>-1</v>
      </c>
    </row>
    <row r="112" spans="1:8" x14ac:dyDescent="0.25">
      <c r="A112" s="9" t="s">
        <v>241</v>
      </c>
      <c r="B112" s="70"/>
      <c r="C112" s="70"/>
      <c r="D112" s="172">
        <f>D113+D114</f>
        <v>16172840</v>
      </c>
      <c r="E112" s="172">
        <f>E113+E114</f>
        <v>16172840</v>
      </c>
      <c r="F112" s="172">
        <f>F113+F114</f>
        <v>0</v>
      </c>
      <c r="G112" s="172">
        <f>G113+G114</f>
        <v>90000000</v>
      </c>
      <c r="H112" s="405"/>
    </row>
    <row r="113" spans="1:8" ht="26.4" x14ac:dyDescent="0.25">
      <c r="A113" s="7" t="s">
        <v>73</v>
      </c>
      <c r="B113" s="70"/>
      <c r="C113" s="70"/>
      <c r="D113" s="171">
        <v>16172840</v>
      </c>
      <c r="E113" s="171">
        <v>16172840</v>
      </c>
      <c r="F113" s="171"/>
      <c r="G113" s="171">
        <v>90000000</v>
      </c>
      <c r="H113" s="405"/>
    </row>
    <row r="114" spans="1:8" hidden="1" x14ac:dyDescent="0.25">
      <c r="A114" s="7" t="s">
        <v>71</v>
      </c>
      <c r="B114" s="70"/>
      <c r="C114" s="70"/>
      <c r="D114" s="171"/>
      <c r="E114" s="171"/>
      <c r="F114" s="171"/>
      <c r="G114" s="171"/>
      <c r="H114" s="405" t="e">
        <f t="shared" si="16"/>
        <v>#DIV/0!</v>
      </c>
    </row>
    <row r="115" spans="1:8" ht="39.6" x14ac:dyDescent="0.25">
      <c r="A115" s="9" t="s">
        <v>75</v>
      </c>
      <c r="B115" s="111">
        <f t="shared" ref="B115:C115" si="18">B116+B120+B123</f>
        <v>163869164.16</v>
      </c>
      <c r="C115" s="111">
        <f t="shared" si="18"/>
        <v>234226745.72</v>
      </c>
      <c r="D115" s="172">
        <f>D116+D120+D123</f>
        <v>84465730</v>
      </c>
      <c r="E115" s="172">
        <f>E116+E120+E123</f>
        <v>84465730</v>
      </c>
      <c r="F115" s="172">
        <f>F116+F120+F123</f>
        <v>64489571.759999998</v>
      </c>
      <c r="G115" s="172">
        <f>G116+G120+G123</f>
        <v>4351390</v>
      </c>
      <c r="H115" s="405">
        <f t="shared" si="16"/>
        <v>-0.93252568002476688</v>
      </c>
    </row>
    <row r="116" spans="1:8" x14ac:dyDescent="0.25">
      <c r="A116" s="9" t="s">
        <v>198</v>
      </c>
      <c r="B116" s="111">
        <f t="shared" ref="B116:C116" si="19">B117+B118+B119</f>
        <v>160703772.28</v>
      </c>
      <c r="C116" s="111">
        <f t="shared" si="19"/>
        <v>231624945.59</v>
      </c>
      <c r="D116" s="172">
        <f>D117+D118+D119</f>
        <v>75298830</v>
      </c>
      <c r="E116" s="172">
        <f>E117+E118+E119</f>
        <v>75298830</v>
      </c>
      <c r="F116" s="172">
        <f>F117+F118+F119</f>
        <v>54600433.759999998</v>
      </c>
      <c r="G116" s="172">
        <f>G117+G118+G119</f>
        <v>4351390</v>
      </c>
      <c r="H116" s="405">
        <f t="shared" si="16"/>
        <v>-0.92030484557820846</v>
      </c>
    </row>
    <row r="117" spans="1:8" ht="26.4" hidden="1" x14ac:dyDescent="0.25">
      <c r="A117" s="7" t="s">
        <v>73</v>
      </c>
      <c r="B117" s="70">
        <v>52713130.770000003</v>
      </c>
      <c r="C117" s="70"/>
      <c r="D117" s="171"/>
      <c r="E117" s="171"/>
      <c r="F117" s="171"/>
      <c r="G117" s="171"/>
      <c r="H117" s="405"/>
    </row>
    <row r="118" spans="1:8" ht="26.4" x14ac:dyDescent="0.25">
      <c r="A118" s="7" t="s">
        <v>74</v>
      </c>
      <c r="B118" s="70">
        <v>108015873.73999999</v>
      </c>
      <c r="C118" s="70">
        <v>231624945.59</v>
      </c>
      <c r="D118" s="171">
        <v>75298830</v>
      </c>
      <c r="E118" s="171">
        <v>75298830</v>
      </c>
      <c r="F118" s="171">
        <v>53797078.759999998</v>
      </c>
      <c r="G118" s="171">
        <v>4351390</v>
      </c>
      <c r="H118" s="405">
        <f t="shared" si="16"/>
        <v>-0.91911475306284829</v>
      </c>
    </row>
    <row r="119" spans="1:8" x14ac:dyDescent="0.25">
      <c r="A119" s="7" t="s">
        <v>71</v>
      </c>
      <c r="B119" s="70">
        <v>-25232.23</v>
      </c>
      <c r="C119" s="70"/>
      <c r="D119" s="171"/>
      <c r="E119" s="171"/>
      <c r="F119" s="171">
        <v>803355</v>
      </c>
      <c r="G119" s="171"/>
      <c r="H119" s="405">
        <f t="shared" si="16"/>
        <v>-1</v>
      </c>
    </row>
    <row r="120" spans="1:8" x14ac:dyDescent="0.25">
      <c r="A120" s="11" t="s">
        <v>72</v>
      </c>
      <c r="B120" s="111">
        <f t="shared" ref="B120:C120" si="20">B122+B121</f>
        <v>387044.45999999996</v>
      </c>
      <c r="C120" s="111">
        <f t="shared" si="20"/>
        <v>821365.89</v>
      </c>
      <c r="D120" s="172">
        <f>D122+D121</f>
        <v>0</v>
      </c>
      <c r="E120" s="172">
        <f>E122+E121</f>
        <v>0</v>
      </c>
      <c r="F120" s="172">
        <f>F122+F121</f>
        <v>0</v>
      </c>
      <c r="G120" s="172"/>
      <c r="H120" s="405"/>
    </row>
    <row r="121" spans="1:8" ht="26.4" x14ac:dyDescent="0.25">
      <c r="A121" s="7" t="s">
        <v>73</v>
      </c>
      <c r="B121" s="70">
        <v>124972.91</v>
      </c>
      <c r="C121" s="70"/>
      <c r="D121" s="171"/>
      <c r="E121" s="171"/>
      <c r="F121" s="171"/>
      <c r="G121" s="171"/>
      <c r="H121" s="405"/>
    </row>
    <row r="122" spans="1:8" ht="26.4" x14ac:dyDescent="0.25">
      <c r="A122" s="7" t="s">
        <v>74</v>
      </c>
      <c r="B122" s="70">
        <v>262071.55</v>
      </c>
      <c r="C122" s="70">
        <v>821365.89</v>
      </c>
      <c r="D122" s="171"/>
      <c r="E122" s="171"/>
      <c r="F122" s="171"/>
      <c r="G122" s="171"/>
      <c r="H122" s="405"/>
    </row>
    <row r="123" spans="1:8" x14ac:dyDescent="0.25">
      <c r="A123" s="9" t="s">
        <v>199</v>
      </c>
      <c r="B123" s="76">
        <f t="shared" ref="B123:C123" si="21">B124+B125</f>
        <v>2778347.42</v>
      </c>
      <c r="C123" s="76">
        <f t="shared" si="21"/>
        <v>1780434.24</v>
      </c>
      <c r="D123" s="172">
        <f>D124+D125</f>
        <v>9166900</v>
      </c>
      <c r="E123" s="172">
        <f>E124+E125</f>
        <v>9166900</v>
      </c>
      <c r="F123" s="172">
        <f>F124+F125</f>
        <v>9889138</v>
      </c>
      <c r="G123" s="172">
        <f>G124+G125</f>
        <v>0</v>
      </c>
      <c r="H123" s="405">
        <f t="shared" si="16"/>
        <v>-1</v>
      </c>
    </row>
    <row r="124" spans="1:8" ht="34.200000000000003" x14ac:dyDescent="0.25">
      <c r="A124" s="412" t="s">
        <v>196</v>
      </c>
      <c r="B124" s="70">
        <v>595392.74</v>
      </c>
      <c r="C124" s="70">
        <v>136536.51999999999</v>
      </c>
      <c r="D124" s="171"/>
      <c r="E124" s="171"/>
      <c r="F124" s="171"/>
      <c r="G124" s="171"/>
      <c r="H124" s="405"/>
    </row>
    <row r="125" spans="1:8" ht="34.799999999999997" thickBot="1" x14ac:dyDescent="0.3">
      <c r="A125" s="413" t="s">
        <v>197</v>
      </c>
      <c r="B125" s="414">
        <v>2182954.6800000002</v>
      </c>
      <c r="C125" s="414">
        <v>1643897.72</v>
      </c>
      <c r="D125" s="415">
        <v>9166900</v>
      </c>
      <c r="E125" s="415">
        <v>9166900</v>
      </c>
      <c r="F125" s="415">
        <v>9889138</v>
      </c>
      <c r="G125" s="415"/>
      <c r="H125" s="416">
        <f t="shared" si="16"/>
        <v>-1</v>
      </c>
    </row>
    <row r="126" spans="1:8" ht="13.8" thickBot="1" x14ac:dyDescent="0.3">
      <c r="A126" s="392" t="s">
        <v>76</v>
      </c>
      <c r="B126" s="393">
        <f t="shared" ref="B126:C126" si="22">B8+B9+B10+B13+B15+B24+B28+B30+B32+B37+B41+B48+B51+B54+B62+B67+B70+B74+B96+B107+B115</f>
        <v>1065975106.4099998</v>
      </c>
      <c r="C126" s="393">
        <f t="shared" si="22"/>
        <v>1285924194.9499998</v>
      </c>
      <c r="D126" s="393">
        <f>D8+D9+D10+D13+D15+D24+D28+D30+D32+D37+D41+D48+D51+D54+D62+D67+D70+D74+D96+D107+D115</f>
        <v>2474844620</v>
      </c>
      <c r="E126" s="393">
        <f>E8+E9+E10+E13+E15+E24+E28+E30+E32+E37+E41+E48+E51+E54+E62+E67+E70+E74+E96+E107+E115</f>
        <v>2476582860</v>
      </c>
      <c r="F126" s="393">
        <f>F8+F9+F10+F13+F15+F24+F28+F30+F32+F37+F41+F48+F51+F54+F62+F67+F70+F74+F96+F107+F115</f>
        <v>1541969578.7</v>
      </c>
      <c r="G126" s="393">
        <f>G8+G9+G10+G13+G15+G24+G28+G30+G32+G37+G41+G48+G51+G54+G62+G67+G70+G74+G96+G107+G115</f>
        <v>1725791540</v>
      </c>
      <c r="H126" s="394">
        <f t="shared" si="16"/>
        <v>0.11921244351329952</v>
      </c>
    </row>
    <row r="127" spans="1:8" ht="13.8" thickBot="1" x14ac:dyDescent="0.3">
      <c r="A127" s="13"/>
    </row>
    <row r="128" spans="1:8" ht="39.6" x14ac:dyDescent="0.25">
      <c r="A128" s="422" t="s">
        <v>77</v>
      </c>
      <c r="B128" s="419" t="s">
        <v>221</v>
      </c>
      <c r="C128" s="419" t="s">
        <v>223</v>
      </c>
      <c r="D128" s="419" t="s">
        <v>236</v>
      </c>
      <c r="E128" s="419" t="s">
        <v>246</v>
      </c>
      <c r="F128" s="420" t="s">
        <v>253</v>
      </c>
      <c r="G128" s="420" t="s">
        <v>259</v>
      </c>
      <c r="H128" s="421" t="s">
        <v>2</v>
      </c>
    </row>
    <row r="129" spans="1:8" x14ac:dyDescent="0.25">
      <c r="A129" s="14" t="s">
        <v>78</v>
      </c>
      <c r="B129" s="15">
        <f t="shared" ref="B129:C129" si="23">B126-B130-B131</f>
        <v>719000022.61999989</v>
      </c>
      <c r="C129" s="15">
        <f t="shared" si="23"/>
        <v>741796220.51999974</v>
      </c>
      <c r="D129" s="15">
        <f>D126-D130-D131</f>
        <v>778304850</v>
      </c>
      <c r="E129" s="15">
        <f>E126-E130-E131</f>
        <v>797208650</v>
      </c>
      <c r="F129" s="15">
        <f>F126-F130-F131</f>
        <v>776446164.4000001</v>
      </c>
      <c r="G129" s="15">
        <f>G126-G130-G131</f>
        <v>854387140</v>
      </c>
      <c r="H129" s="127">
        <f t="shared" ref="H129:H136" si="24">G129/F129-1</f>
        <v>0.1003816866816889</v>
      </c>
    </row>
    <row r="130" spans="1:8" x14ac:dyDescent="0.25">
      <c r="A130" s="16" t="s">
        <v>79</v>
      </c>
      <c r="B130" s="17">
        <f>B24+B43+B74+B96-B88-B90-B93</f>
        <v>174613775.88</v>
      </c>
      <c r="C130" s="17">
        <f>C24+C43+C74+C96-C88-C90-C93</f>
        <v>301456852.23999995</v>
      </c>
      <c r="D130" s="17">
        <f>D24+D43+D74+D96-D88-D90-D93</f>
        <v>547338540</v>
      </c>
      <c r="E130" s="17">
        <f>E24+E43+E74+E96-E88-E90-E93</f>
        <v>553287330</v>
      </c>
      <c r="F130" s="17">
        <f>F24+F43+F74+F96-F88-F90-F93-F105</f>
        <v>449909688.29000002</v>
      </c>
      <c r="G130" s="17">
        <f>G24+G43+G74+G96-G88-G90-G93-G105</f>
        <v>326047810</v>
      </c>
      <c r="H130" s="127">
        <f t="shared" si="24"/>
        <v>-0.2753038698961332</v>
      </c>
    </row>
    <row r="131" spans="1:8" x14ac:dyDescent="0.25">
      <c r="A131" s="16" t="s">
        <v>80</v>
      </c>
      <c r="B131" s="17">
        <f>B115+B107+B88+B93</f>
        <v>172361307.91</v>
      </c>
      <c r="C131" s="17">
        <f>C115+C107+C88+C93+C90</f>
        <v>242671122.19</v>
      </c>
      <c r="D131" s="17">
        <f>D115+D107+D88+D93+D90</f>
        <v>1149201230</v>
      </c>
      <c r="E131" s="17">
        <f>E115+E107+E88+E93+E90</f>
        <v>1126086880</v>
      </c>
      <c r="F131" s="17">
        <f>F115+F107+F88+F93+F90+F105</f>
        <v>315613726.00999999</v>
      </c>
      <c r="G131" s="17">
        <f>G115+G107+G88+G93+G90+G105</f>
        <v>545356590</v>
      </c>
      <c r="H131" s="127">
        <f t="shared" si="24"/>
        <v>0.72792418407911952</v>
      </c>
    </row>
    <row r="132" spans="1:8" ht="13.8" thickBot="1" x14ac:dyDescent="0.3">
      <c r="A132" s="18" t="s">
        <v>81</v>
      </c>
      <c r="B132" s="17"/>
      <c r="C132" s="15"/>
      <c r="D132" s="15">
        <v>57502300</v>
      </c>
      <c r="E132" s="15">
        <v>57502300</v>
      </c>
      <c r="F132" s="15"/>
      <c r="G132" s="15">
        <v>63701540</v>
      </c>
      <c r="H132" s="127" t="e">
        <f t="shared" si="24"/>
        <v>#DIV/0!</v>
      </c>
    </row>
    <row r="133" spans="1:8" ht="13.8" hidden="1" thickBot="1" x14ac:dyDescent="0.3">
      <c r="A133" s="19" t="s">
        <v>82</v>
      </c>
      <c r="B133" s="21"/>
      <c r="C133" s="108"/>
      <c r="D133" s="108"/>
      <c r="E133" s="108"/>
      <c r="F133" s="108"/>
      <c r="G133" s="108"/>
      <c r="H133" s="127" t="e">
        <f t="shared" si="24"/>
        <v>#DIV/0!</v>
      </c>
    </row>
    <row r="134" spans="1:8" ht="13.8" hidden="1" thickBot="1" x14ac:dyDescent="0.3">
      <c r="A134" s="19" t="s">
        <v>83</v>
      </c>
      <c r="B134" s="21"/>
      <c r="C134" s="108"/>
      <c r="D134" s="108"/>
      <c r="E134" s="108"/>
      <c r="F134" s="108"/>
      <c r="G134" s="108"/>
      <c r="H134" s="127" t="e">
        <f t="shared" si="24"/>
        <v>#DIV/0!</v>
      </c>
    </row>
    <row r="135" spans="1:8" ht="13.8" hidden="1" thickBot="1" x14ac:dyDescent="0.3">
      <c r="A135" s="22" t="s">
        <v>84</v>
      </c>
      <c r="B135" s="23"/>
      <c r="C135" s="109"/>
      <c r="D135" s="109"/>
      <c r="E135" s="109"/>
      <c r="F135" s="109"/>
      <c r="G135" s="109"/>
      <c r="H135" s="127" t="e">
        <f t="shared" si="24"/>
        <v>#DIV/0!</v>
      </c>
    </row>
    <row r="136" spans="1:8" ht="13.8" thickBot="1" x14ac:dyDescent="0.3">
      <c r="A136" s="90" t="s">
        <v>85</v>
      </c>
      <c r="B136" s="92">
        <f t="shared" ref="B136:G136" si="25">SUM(B129:B132)</f>
        <v>1065975106.4099998</v>
      </c>
      <c r="C136" s="92">
        <f t="shared" si="25"/>
        <v>1285924194.9499998</v>
      </c>
      <c r="D136" s="92">
        <f t="shared" si="25"/>
        <v>2532346920</v>
      </c>
      <c r="E136" s="92">
        <f t="shared" si="25"/>
        <v>2534085160</v>
      </c>
      <c r="F136" s="92">
        <f t="shared" si="25"/>
        <v>1541969578.7</v>
      </c>
      <c r="G136" s="92">
        <f t="shared" si="25"/>
        <v>1789493080</v>
      </c>
      <c r="H136" s="130">
        <f t="shared" si="24"/>
        <v>0.1605242442647159</v>
      </c>
    </row>
    <row r="137" spans="1:8" x14ac:dyDescent="0.25">
      <c r="A137" s="24"/>
      <c r="B137" s="12">
        <f>B136-'chelt. operat.'!C123</f>
        <v>565046230.53999996</v>
      </c>
      <c r="C137" s="12"/>
      <c r="D137" s="12"/>
      <c r="E137" s="12"/>
    </row>
    <row r="138" spans="1:8" ht="15.6" x14ac:dyDescent="0.3">
      <c r="A138" s="423" t="s">
        <v>184</v>
      </c>
      <c r="B138" s="424"/>
      <c r="C138" s="424"/>
      <c r="D138" s="424"/>
      <c r="E138" s="424"/>
      <c r="F138" s="425"/>
      <c r="G138" s="425"/>
      <c r="H138" s="426"/>
    </row>
    <row r="139" spans="1:8" ht="13.8" thickBot="1" x14ac:dyDescent="0.3">
      <c r="A139" s="25"/>
    </row>
    <row r="140" spans="1:8" ht="39.6" x14ac:dyDescent="0.25">
      <c r="A140" s="422" t="s">
        <v>1</v>
      </c>
      <c r="B140" s="419" t="s">
        <v>218</v>
      </c>
      <c r="C140" s="419" t="s">
        <v>223</v>
      </c>
      <c r="D140" s="419" t="s">
        <v>236</v>
      </c>
      <c r="E140" s="419" t="s">
        <v>246</v>
      </c>
      <c r="F140" s="420" t="s">
        <v>258</v>
      </c>
      <c r="G140" s="420" t="s">
        <v>930</v>
      </c>
      <c r="H140" s="421" t="s">
        <v>2</v>
      </c>
    </row>
    <row r="141" spans="1:8" ht="13.8" thickBot="1" x14ac:dyDescent="0.3">
      <c r="A141" s="74" t="s">
        <v>182</v>
      </c>
      <c r="B141" s="12">
        <f>367877528.2+48149389.82</f>
        <v>416026918.01999998</v>
      </c>
      <c r="C141" s="118">
        <f>22063712.64+57138924.29</f>
        <v>79202636.930000007</v>
      </c>
      <c r="D141" s="75">
        <f>146190710+17323610</f>
        <v>163514320</v>
      </c>
      <c r="E141" s="112">
        <f>164467610+146190710</f>
        <v>310658320</v>
      </c>
      <c r="F141" s="118">
        <f>35906268.05+109069802.48</f>
        <v>144976070.53</v>
      </c>
      <c r="G141" s="417">
        <f>6374787*5.1+15858978*5.1+32553000+142912800-1.5-2993560</f>
        <v>285864440</v>
      </c>
      <c r="H141" s="128">
        <f t="shared" ref="H141:H142" si="26">G141/F141-1</f>
        <v>0.97180430504802429</v>
      </c>
    </row>
    <row r="142" spans="1:8" ht="13.8" thickBot="1" x14ac:dyDescent="0.3">
      <c r="A142" s="90" t="s">
        <v>86</v>
      </c>
      <c r="B142" s="91">
        <f t="shared" ref="B142:C142" si="27">B141</f>
        <v>416026918.01999998</v>
      </c>
      <c r="C142" s="91">
        <f t="shared" si="27"/>
        <v>79202636.930000007</v>
      </c>
      <c r="D142" s="91">
        <f>D141</f>
        <v>163514320</v>
      </c>
      <c r="E142" s="91">
        <f>E141</f>
        <v>310658320</v>
      </c>
      <c r="F142" s="91">
        <f>F141</f>
        <v>144976070.53</v>
      </c>
      <c r="G142" s="91">
        <f>G141</f>
        <v>285864440</v>
      </c>
      <c r="H142" s="131">
        <f t="shared" si="26"/>
        <v>0.97180430504802429</v>
      </c>
    </row>
    <row r="143" spans="1:8" x14ac:dyDescent="0.25">
      <c r="A143" s="26"/>
    </row>
    <row r="145" spans="1:8" ht="15.6" customHeight="1" x14ac:dyDescent="0.3">
      <c r="A145" s="423" t="s">
        <v>87</v>
      </c>
      <c r="B145" s="424"/>
      <c r="C145" s="424"/>
      <c r="D145" s="424"/>
      <c r="E145" s="424"/>
      <c r="F145" s="425"/>
      <c r="G145" s="425"/>
      <c r="H145" s="426"/>
    </row>
    <row r="146" spans="1:8" ht="13.8" thickBot="1" x14ac:dyDescent="0.3">
      <c r="A146" s="25"/>
    </row>
    <row r="147" spans="1:8" ht="38.25" customHeight="1" thickBot="1" x14ac:dyDescent="0.3">
      <c r="A147" s="422" t="s">
        <v>1</v>
      </c>
      <c r="B147" s="419" t="s">
        <v>220</v>
      </c>
      <c r="C147" s="419" t="s">
        <v>223</v>
      </c>
      <c r="D147" s="419" t="s">
        <v>236</v>
      </c>
      <c r="E147" s="419" t="s">
        <v>246</v>
      </c>
      <c r="F147" s="420" t="s">
        <v>258</v>
      </c>
      <c r="G147" s="420" t="s">
        <v>930</v>
      </c>
      <c r="H147" s="421" t="s">
        <v>2</v>
      </c>
    </row>
    <row r="148" spans="1:8" x14ac:dyDescent="0.25">
      <c r="A148" s="27" t="s">
        <v>88</v>
      </c>
      <c r="B148" s="28">
        <v>15929168.91</v>
      </c>
      <c r="C148" s="110">
        <v>19452571.300000001</v>
      </c>
      <c r="D148" s="110">
        <v>27713450</v>
      </c>
      <c r="E148" s="110">
        <v>28049250</v>
      </c>
      <c r="F148" s="110">
        <v>18655162.760000002</v>
      </c>
      <c r="G148" s="110">
        <v>25214040</v>
      </c>
      <c r="H148" s="128">
        <f t="shared" ref="H148:H153" si="28">G148/F148-1</f>
        <v>0.35158509868717958</v>
      </c>
    </row>
    <row r="149" spans="1:8" x14ac:dyDescent="0.25">
      <c r="A149" s="29" t="s">
        <v>89</v>
      </c>
      <c r="B149" s="36">
        <v>6938365.3099999996</v>
      </c>
      <c r="C149" s="83">
        <v>8011945.1500000004</v>
      </c>
      <c r="D149" s="83">
        <f>26547600-19000000</f>
        <v>7547600</v>
      </c>
      <c r="E149" s="83">
        <f>31890170-20551700</f>
        <v>11338470</v>
      </c>
      <c r="F149" s="83">
        <f>31758993.25-20493720.48</f>
        <v>11265272.77</v>
      </c>
      <c r="G149" s="83">
        <v>10033860</v>
      </c>
      <c r="H149" s="128">
        <f t="shared" si="28"/>
        <v>-0.10931051516828916</v>
      </c>
    </row>
    <row r="150" spans="1:8" x14ac:dyDescent="0.25">
      <c r="A150" s="29" t="s">
        <v>90</v>
      </c>
      <c r="B150" s="28">
        <v>757797827.10000002</v>
      </c>
      <c r="C150" s="110">
        <v>873891303.78999996</v>
      </c>
      <c r="D150" s="110">
        <v>965629080</v>
      </c>
      <c r="E150" s="110">
        <v>1054115770</v>
      </c>
      <c r="F150" s="110">
        <f>1029814611.55-6772000-753000</f>
        <v>1022289611.55</v>
      </c>
      <c r="G150" s="418">
        <v>1102789400</v>
      </c>
      <c r="H150" s="128">
        <f t="shared" si="28"/>
        <v>7.8744601862818397E-2</v>
      </c>
    </row>
    <row r="151" spans="1:8" hidden="1" x14ac:dyDescent="0.25">
      <c r="A151" s="29" t="s">
        <v>91</v>
      </c>
      <c r="B151" s="28">
        <v>0</v>
      </c>
      <c r="C151" s="28"/>
      <c r="D151" s="110"/>
      <c r="E151" s="110"/>
      <c r="F151" s="28"/>
      <c r="G151" s="110"/>
      <c r="H151" s="128"/>
    </row>
    <row r="152" spans="1:8" ht="13.8" thickBot="1" x14ac:dyDescent="0.3">
      <c r="A152" s="74" t="s">
        <v>92</v>
      </c>
      <c r="B152" s="12"/>
      <c r="C152" s="75"/>
      <c r="D152" s="112">
        <f>3979420+849980+66515040</f>
        <v>71344440</v>
      </c>
      <c r="E152" s="112">
        <f>3979420+849980+66515040</f>
        <v>71344440</v>
      </c>
      <c r="F152" s="75"/>
      <c r="G152" s="112">
        <f>4173390+858190+110468020</f>
        <v>115499600</v>
      </c>
      <c r="H152" s="128"/>
    </row>
    <row r="153" spans="1:8" ht="13.8" thickBot="1" x14ac:dyDescent="0.3">
      <c r="A153" s="88" t="s">
        <v>93</v>
      </c>
      <c r="B153" s="89">
        <f t="shared" ref="B153:G153" si="29">SUM(B148:B152)</f>
        <v>780665361.32000005</v>
      </c>
      <c r="C153" s="89">
        <f t="shared" si="29"/>
        <v>901355820.24000001</v>
      </c>
      <c r="D153" s="89">
        <f t="shared" si="29"/>
        <v>1072234570</v>
      </c>
      <c r="E153" s="89">
        <f t="shared" si="29"/>
        <v>1164847930</v>
      </c>
      <c r="F153" s="89">
        <f t="shared" si="29"/>
        <v>1052210047.0799999</v>
      </c>
      <c r="G153" s="89">
        <f t="shared" si="29"/>
        <v>1253536900</v>
      </c>
      <c r="H153" s="130">
        <f t="shared" si="28"/>
        <v>0.19133713223771665</v>
      </c>
    </row>
    <row r="154" spans="1:8" x14ac:dyDescent="0.25">
      <c r="A154" s="25"/>
    </row>
    <row r="155" spans="1:8" ht="15.75" customHeight="1" x14ac:dyDescent="0.3">
      <c r="A155" s="423" t="s">
        <v>94</v>
      </c>
      <c r="B155" s="424"/>
      <c r="C155" s="424"/>
      <c r="D155" s="424"/>
      <c r="E155" s="424"/>
      <c r="F155" s="425"/>
      <c r="G155" s="425"/>
      <c r="H155" s="426"/>
    </row>
    <row r="156" spans="1:8" ht="15.75" customHeight="1" thickBot="1" x14ac:dyDescent="0.3">
      <c r="A156" s="25"/>
    </row>
    <row r="157" spans="1:8" ht="39.6" x14ac:dyDescent="0.25">
      <c r="A157" s="422" t="s">
        <v>163</v>
      </c>
      <c r="B157" s="419" t="s">
        <v>219</v>
      </c>
      <c r="C157" s="419" t="s">
        <v>223</v>
      </c>
      <c r="D157" s="419" t="s">
        <v>236</v>
      </c>
      <c r="E157" s="419" t="s">
        <v>246</v>
      </c>
      <c r="F157" s="420" t="s">
        <v>258</v>
      </c>
      <c r="G157" s="420" t="s">
        <v>930</v>
      </c>
      <c r="H157" s="421" t="s">
        <v>2</v>
      </c>
    </row>
    <row r="158" spans="1:8" ht="13.8" thickBot="1" x14ac:dyDescent="0.3">
      <c r="A158" s="66" t="s">
        <v>162</v>
      </c>
      <c r="B158" s="28">
        <f>114627.46-16211.4</f>
        <v>98416.060000000012</v>
      </c>
      <c r="C158" s="28"/>
      <c r="D158" s="28"/>
      <c r="E158" s="28"/>
      <c r="F158" s="121"/>
      <c r="G158" s="121"/>
      <c r="H158" s="129"/>
    </row>
    <row r="159" spans="1:8" s="32" customFormat="1" ht="35.4" thickBot="1" x14ac:dyDescent="0.35">
      <c r="A159" s="113" t="s">
        <v>95</v>
      </c>
      <c r="B159" s="114">
        <f>+B153+B142+B136+B158</f>
        <v>2262765801.8099999</v>
      </c>
      <c r="C159" s="114">
        <f t="shared" ref="C159:G159" si="30">+C153+C142+C136+C158</f>
        <v>2266482652.1199999</v>
      </c>
      <c r="D159" s="114">
        <f t="shared" si="30"/>
        <v>3768095810</v>
      </c>
      <c r="E159" s="114">
        <f t="shared" si="30"/>
        <v>4009591410</v>
      </c>
      <c r="F159" s="114">
        <f t="shared" si="30"/>
        <v>2739155696.3099999</v>
      </c>
      <c r="G159" s="114">
        <f t="shared" si="30"/>
        <v>3328894420</v>
      </c>
      <c r="H159" s="130">
        <f>G159/F159-1</f>
        <v>0.21529945321635235</v>
      </c>
    </row>
    <row r="161" spans="1:7" x14ac:dyDescent="0.25">
      <c r="E161" s="12"/>
    </row>
    <row r="162" spans="1:7" x14ac:dyDescent="0.25">
      <c r="B162" s="103"/>
      <c r="C162" s="103"/>
      <c r="D162" s="103"/>
      <c r="E162" s="103"/>
      <c r="F162" s="122"/>
      <c r="G162" s="122"/>
    </row>
    <row r="163" spans="1:7" x14ac:dyDescent="0.25">
      <c r="B163" s="103"/>
      <c r="C163" s="103"/>
      <c r="D163" s="103"/>
      <c r="E163" s="103"/>
      <c r="F163" s="122"/>
      <c r="G163" s="122"/>
    </row>
    <row r="164" spans="1:7" x14ac:dyDescent="0.25">
      <c r="B164" s="105"/>
      <c r="C164" s="105"/>
      <c r="D164" s="105"/>
      <c r="E164" s="105"/>
      <c r="F164" s="123"/>
      <c r="G164" s="123"/>
    </row>
    <row r="165" spans="1:7" x14ac:dyDescent="0.25">
      <c r="A165" s="31"/>
      <c r="B165" s="106"/>
      <c r="C165" s="106"/>
      <c r="D165" s="106"/>
      <c r="E165" s="106"/>
      <c r="F165" s="124"/>
      <c r="G165" s="124"/>
    </row>
    <row r="166" spans="1:7" x14ac:dyDescent="0.25">
      <c r="A166" s="107"/>
      <c r="B166" s="106"/>
      <c r="C166" s="106"/>
      <c r="D166" s="106"/>
      <c r="E166" s="106"/>
      <c r="F166" s="124"/>
      <c r="G166" s="124"/>
    </row>
    <row r="167" spans="1:7" x14ac:dyDescent="0.25">
      <c r="A167" s="107"/>
      <c r="B167" s="106"/>
      <c r="C167" s="106"/>
      <c r="D167" s="106"/>
      <c r="E167" s="106"/>
      <c r="F167" s="124"/>
      <c r="G167" s="124"/>
    </row>
    <row r="168" spans="1:7" x14ac:dyDescent="0.25">
      <c r="A168" s="59"/>
    </row>
    <row r="169" spans="1:7" x14ac:dyDescent="0.25">
      <c r="B169" s="103"/>
      <c r="C169" s="103"/>
      <c r="D169" s="103"/>
      <c r="E169" s="103"/>
      <c r="F169" s="122"/>
      <c r="G169" s="122"/>
    </row>
    <row r="170" spans="1:7" x14ac:dyDescent="0.25">
      <c r="B170" s="103"/>
      <c r="C170" s="103"/>
      <c r="D170" s="103"/>
      <c r="E170" s="103"/>
      <c r="F170" s="122"/>
      <c r="G170" s="122"/>
    </row>
    <row r="171" spans="1:7" x14ac:dyDescent="0.25">
      <c r="B171" s="103"/>
      <c r="C171" s="103"/>
      <c r="D171" s="103"/>
      <c r="E171" s="103"/>
      <c r="F171" s="122"/>
      <c r="G171" s="122"/>
    </row>
    <row r="172" spans="1:7" x14ac:dyDescent="0.25">
      <c r="A172" s="31"/>
      <c r="B172" s="103"/>
      <c r="C172" s="103"/>
      <c r="D172" s="103"/>
      <c r="E172" s="103"/>
      <c r="F172" s="122"/>
      <c r="G172" s="122"/>
    </row>
    <row r="173" spans="1:7" x14ac:dyDescent="0.25">
      <c r="A173" s="107"/>
      <c r="B173" s="103"/>
      <c r="C173" s="103"/>
      <c r="D173" s="103"/>
      <c r="E173" s="103"/>
      <c r="F173" s="122"/>
      <c r="G173" s="122"/>
    </row>
    <row r="174" spans="1:7" x14ac:dyDescent="0.25">
      <c r="A174" s="107"/>
    </row>
  </sheetData>
  <mergeCells count="1">
    <mergeCell ref="A3:G3"/>
  </mergeCells>
  <phoneticPr fontId="32" type="noConversion"/>
  <pageMargins left="0.23622047244094491" right="0.23622047244094491" top="0.74803149606299213" bottom="0.74803149606299213" header="0.31496062992125984" footer="0.31496062992125984"/>
  <pageSetup paperSize="9" scale="76" fitToHeight="0" orientation="portrait" horizontalDpi="4294967293" verticalDpi="4294967293" r:id="rId1"/>
  <headerFooter>
    <oddFooter xml:space="preserve">&amp;L&amp;F&amp;C&amp;A&amp;RPagina &amp;P din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2"/>
  <sheetViews>
    <sheetView tabSelected="1" view="pageBreakPreview" zoomScale="130" zoomScaleNormal="100" zoomScaleSheetLayoutView="130" workbookViewId="0">
      <pane ySplit="7" topLeftCell="A8" activePane="bottomLeft" state="frozen"/>
      <selection pane="bottomLeft" activeCell="G11" sqref="G11"/>
    </sheetView>
  </sheetViews>
  <sheetFormatPr defaultColWidth="9.109375" defaultRowHeight="13.2" x14ac:dyDescent="0.25"/>
  <cols>
    <col min="1" max="1" width="3.6640625" style="2" bestFit="1" customWidth="1"/>
    <col min="2" max="2" width="36.88671875" style="8" customWidth="1"/>
    <col min="3" max="3" width="12.6640625" style="2" bestFit="1" customWidth="1"/>
    <col min="4" max="4" width="13.109375" style="2" customWidth="1"/>
    <col min="5" max="5" width="13.88671875" style="2" customWidth="1"/>
    <col min="6" max="6" width="13" style="2" customWidth="1"/>
    <col min="7" max="8" width="12.88671875" style="31" customWidth="1"/>
    <col min="9" max="9" width="7.109375" style="2" customWidth="1"/>
    <col min="10" max="10" width="16.44140625" style="2" bestFit="1" customWidth="1"/>
    <col min="11" max="11" width="18.109375" style="2" customWidth="1"/>
    <col min="12" max="12" width="13.88671875" style="2" customWidth="1"/>
    <col min="13" max="13" width="13.6640625" style="2" customWidth="1"/>
    <col min="14" max="14" width="13.88671875" style="2" bestFit="1" customWidth="1"/>
    <col min="15" max="16" width="15.5546875" style="2" customWidth="1"/>
    <col min="17" max="17" width="15.33203125" style="2" customWidth="1"/>
    <col min="18" max="18" width="15.88671875" style="2" customWidth="1"/>
    <col min="19" max="19" width="13.88671875" style="2" bestFit="1" customWidth="1"/>
    <col min="20" max="20" width="10.109375" style="2" bestFit="1" customWidth="1"/>
    <col min="21" max="16384" width="9.109375" style="2"/>
  </cols>
  <sheetData>
    <row r="1" spans="1:19" x14ac:dyDescent="0.25">
      <c r="A1" s="447" t="s">
        <v>0</v>
      </c>
      <c r="B1" s="447"/>
      <c r="I1" s="427" t="s">
        <v>927</v>
      </c>
    </row>
    <row r="2" spans="1:19" x14ac:dyDescent="0.25">
      <c r="A2" s="33"/>
      <c r="B2" s="33"/>
    </row>
    <row r="3" spans="1:19" ht="18" x14ac:dyDescent="0.35">
      <c r="A3" s="80"/>
      <c r="B3" s="448" t="s">
        <v>932</v>
      </c>
      <c r="C3" s="449"/>
      <c r="D3" s="449"/>
      <c r="E3" s="449"/>
      <c r="F3" s="449"/>
      <c r="G3" s="449"/>
      <c r="H3" s="449"/>
      <c r="J3" s="31"/>
    </row>
    <row r="4" spans="1:19" ht="14.4" x14ac:dyDescent="0.3">
      <c r="A4" s="80"/>
      <c r="B4" s="383"/>
      <c r="C4" s="382"/>
      <c r="D4" s="382"/>
      <c r="E4" s="382"/>
      <c r="F4" s="382"/>
      <c r="G4" s="382"/>
      <c r="H4" s="382"/>
      <c r="J4" s="31"/>
    </row>
    <row r="5" spans="1:19" ht="15.6" x14ac:dyDescent="0.3">
      <c r="A5" s="423" t="s">
        <v>931</v>
      </c>
      <c r="B5" s="424"/>
      <c r="C5" s="424"/>
      <c r="D5" s="424"/>
      <c r="E5" s="438"/>
      <c r="F5" s="438"/>
      <c r="G5" s="438"/>
      <c r="H5" s="438"/>
      <c r="I5" s="432"/>
      <c r="J5" s="31"/>
    </row>
    <row r="6" spans="1:19" ht="13.8" thickBot="1" x14ac:dyDescent="0.3">
      <c r="N6" s="31"/>
    </row>
    <row r="7" spans="1:19" ht="39.6" x14ac:dyDescent="0.25">
      <c r="A7" s="422" t="s">
        <v>96</v>
      </c>
      <c r="B7" s="422" t="s">
        <v>1</v>
      </c>
      <c r="C7" s="422" t="s">
        <v>221</v>
      </c>
      <c r="D7" s="422" t="s">
        <v>235</v>
      </c>
      <c r="E7" s="422" t="s">
        <v>236</v>
      </c>
      <c r="F7" s="422" t="s">
        <v>938</v>
      </c>
      <c r="G7" s="422" t="s">
        <v>258</v>
      </c>
      <c r="H7" s="422" t="s">
        <v>930</v>
      </c>
      <c r="I7" s="422" t="s">
        <v>2</v>
      </c>
      <c r="J7" s="31"/>
      <c r="M7" s="31"/>
      <c r="N7" s="31"/>
      <c r="O7" s="31"/>
      <c r="P7" s="31"/>
      <c r="Q7" s="31"/>
      <c r="R7" s="31"/>
      <c r="S7" s="31"/>
    </row>
    <row r="8" spans="1:19" x14ac:dyDescent="0.25">
      <c r="A8" s="93" t="s">
        <v>97</v>
      </c>
      <c r="B8" s="440" t="s">
        <v>98</v>
      </c>
      <c r="C8" s="73">
        <f t="shared" ref="C8:H8" si="0">C9+C18</f>
        <v>98322070.450000003</v>
      </c>
      <c r="D8" s="73">
        <f t="shared" si="0"/>
        <v>120306296.8</v>
      </c>
      <c r="E8" s="73">
        <f t="shared" si="0"/>
        <v>136487080</v>
      </c>
      <c r="F8" s="73">
        <f t="shared" si="0"/>
        <v>135124830</v>
      </c>
      <c r="G8" s="73">
        <f t="shared" si="0"/>
        <v>129522756.57000002</v>
      </c>
      <c r="H8" s="73">
        <f t="shared" si="0"/>
        <v>139628700</v>
      </c>
      <c r="I8" s="94">
        <f>H8/G8-1</f>
        <v>7.8024462246047532E-2</v>
      </c>
      <c r="J8" s="12"/>
      <c r="K8" s="31"/>
      <c r="M8" s="31"/>
      <c r="N8" s="31"/>
      <c r="O8" s="31"/>
      <c r="P8" s="31"/>
      <c r="Q8" s="31"/>
      <c r="R8" s="31"/>
      <c r="S8" s="31"/>
    </row>
    <row r="9" spans="1:19" x14ac:dyDescent="0.25">
      <c r="A9" s="95"/>
      <c r="B9" s="441" t="s">
        <v>99</v>
      </c>
      <c r="C9" s="34">
        <f t="shared" ref="C9:H9" si="1">SUM(C10:C17)</f>
        <v>69650442.650000006</v>
      </c>
      <c r="D9" s="34">
        <f t="shared" si="1"/>
        <v>84077665.00999999</v>
      </c>
      <c r="E9" s="34">
        <f t="shared" si="1"/>
        <v>93740500</v>
      </c>
      <c r="F9" s="34">
        <f t="shared" si="1"/>
        <v>90153430</v>
      </c>
      <c r="G9" s="34">
        <f t="shared" si="1"/>
        <v>89199816.430000007</v>
      </c>
      <c r="H9" s="34">
        <f t="shared" si="1"/>
        <v>89424990</v>
      </c>
      <c r="I9" s="94">
        <f t="shared" ref="I9:I16" si="2">H9/G9-1</f>
        <v>2.5243725717383203E-3</v>
      </c>
      <c r="J9" s="12"/>
      <c r="K9" s="147"/>
      <c r="M9" s="31"/>
      <c r="N9" s="31"/>
      <c r="O9" s="31"/>
      <c r="P9" s="31"/>
      <c r="Q9" s="31"/>
      <c r="R9" s="31"/>
      <c r="S9" s="31"/>
    </row>
    <row r="10" spans="1:19" x14ac:dyDescent="0.25">
      <c r="A10" s="96"/>
      <c r="B10" s="40" t="s">
        <v>100</v>
      </c>
      <c r="C10" s="36">
        <f>3544221+4094712+4061863+640280+4044404+4145099+4121651+4123984+4139918+4103085+4161073+4558128+4490253.65</f>
        <v>50228671.649999999</v>
      </c>
      <c r="D10" s="35">
        <f>4468300+4697083+4679512+4824911+4804104+(626010+4845860)+4824557+5312037+5383898+5394280+5423511+(5376435-1651.99)</f>
        <v>60658846.009999998</v>
      </c>
      <c r="E10" s="61">
        <v>66910000</v>
      </c>
      <c r="F10" s="138">
        <f>66910000-273070-2060000</f>
        <v>64576930</v>
      </c>
      <c r="G10" s="36">
        <f>5240776+5540359+5339696.69+5307753+5263711+5429002+5288427+5415536+5196124+5382218+5278876+5190250.74</f>
        <v>63872729.43</v>
      </c>
      <c r="H10" s="136">
        <f>64745000+278000+81000-1104000</f>
        <v>64000000</v>
      </c>
      <c r="I10" s="94">
        <f t="shared" si="2"/>
        <v>1.992565076453845E-3</v>
      </c>
      <c r="J10" s="12"/>
      <c r="K10" s="31"/>
      <c r="M10" s="31"/>
      <c r="N10" s="31"/>
      <c r="O10" s="31"/>
      <c r="P10" s="31"/>
      <c r="Q10" s="31"/>
      <c r="R10" s="31"/>
      <c r="S10" s="31"/>
    </row>
    <row r="11" spans="1:19" x14ac:dyDescent="0.25">
      <c r="A11" s="96"/>
      <c r="B11" s="40" t="s">
        <v>251</v>
      </c>
      <c r="C11" s="36">
        <f>505559+587849+573646+680339+558804+597515+611463+592849+581473+617906+680554+694496</f>
        <v>7282453</v>
      </c>
      <c r="D11" s="36">
        <f>687414+682341+691732+(699330+102660)+694184+692321+683877+768963+765886+744268+765254+791589</f>
        <v>8769819</v>
      </c>
      <c r="E11" s="30">
        <v>9851000</v>
      </c>
      <c r="F11" s="134">
        <f>9851000-600000</f>
        <v>9251000</v>
      </c>
      <c r="G11" s="36">
        <f>758921+782816+765719+767189+724161+824448+758876+764864+768134+713646+800098+759523</f>
        <v>9188395</v>
      </c>
      <c r="H11" s="136">
        <f>9365850+13600-179450</f>
        <v>9200000</v>
      </c>
      <c r="I11" s="94">
        <f t="shared" si="2"/>
        <v>1.2630062159930677E-3</v>
      </c>
      <c r="J11" s="12"/>
      <c r="K11" s="31"/>
      <c r="L11" s="31"/>
      <c r="M11" s="31"/>
      <c r="N11" s="31"/>
      <c r="O11" s="31"/>
      <c r="P11" s="31"/>
      <c r="Q11" s="31"/>
      <c r="R11" s="31"/>
      <c r="S11" s="31"/>
    </row>
    <row r="12" spans="1:19" x14ac:dyDescent="0.25">
      <c r="A12" s="96"/>
      <c r="B12" s="40" t="s">
        <v>261</v>
      </c>
      <c r="C12" s="82">
        <f>55570+64571+63704+83929+73507+74178+72008+73586+68162+74326+82039+80819</f>
        <v>866399</v>
      </c>
      <c r="D12" s="82">
        <f>78680+79008+81101+(73445+14400)+73407+73508+73607+80349+80906+82791+82792+89872</f>
        <v>963866</v>
      </c>
      <c r="E12" s="39">
        <v>1129500</v>
      </c>
      <c r="F12" s="135">
        <f>1129500+42000-32000</f>
        <v>1139500</v>
      </c>
      <c r="G12" s="82">
        <f>92270+92827+93089+93208+94629+102101+93631+93361+91518+93256+93178+92808</f>
        <v>1125876</v>
      </c>
      <c r="H12" s="384">
        <f>1122860+8000</f>
        <v>1130860</v>
      </c>
      <c r="I12" s="94">
        <f t="shared" si="2"/>
        <v>4.4267752399020921E-3</v>
      </c>
      <c r="J12" s="12"/>
      <c r="K12" s="31"/>
      <c r="L12" s="31"/>
      <c r="M12" s="31"/>
      <c r="N12" s="31"/>
      <c r="O12" s="31"/>
      <c r="P12" s="31"/>
      <c r="Q12" s="31"/>
      <c r="R12" s="31"/>
      <c r="S12" s="31"/>
    </row>
    <row r="13" spans="1:19" x14ac:dyDescent="0.25">
      <c r="A13" s="96"/>
      <c r="B13" s="40" t="s">
        <v>262</v>
      </c>
      <c r="C13" s="82"/>
      <c r="D13" s="82">
        <f>21563+(26418+6350)+39095+44904+58625+58046+59119+58697+51791</f>
        <v>424608</v>
      </c>
      <c r="E13" s="39">
        <v>813000</v>
      </c>
      <c r="F13" s="135">
        <f>813000-130000</f>
        <v>683000</v>
      </c>
      <c r="G13" s="82">
        <f>49285+50288+57211+59099+58567+63047+59685+58501+54513+53488+54165+53856</f>
        <v>671705</v>
      </c>
      <c r="H13" s="384">
        <f>638050+6400</f>
        <v>644450</v>
      </c>
      <c r="I13" s="94">
        <f t="shared" si="2"/>
        <v>-4.0575848028524431E-2</v>
      </c>
      <c r="J13" s="12"/>
      <c r="K13" s="31"/>
      <c r="L13" s="31"/>
      <c r="M13" s="31"/>
      <c r="N13" s="31"/>
      <c r="O13" s="31"/>
      <c r="P13" s="31"/>
      <c r="Q13" s="31"/>
      <c r="R13" s="31"/>
      <c r="S13" s="31"/>
    </row>
    <row r="14" spans="1:19" x14ac:dyDescent="0.25">
      <c r="A14" s="96"/>
      <c r="B14" s="40" t="s">
        <v>101</v>
      </c>
      <c r="C14" s="82">
        <f>531302+18581+11954</f>
        <v>561837</v>
      </c>
      <c r="D14" s="116">
        <f>576122+99918+12963</f>
        <v>689003</v>
      </c>
      <c r="E14" s="39">
        <v>920000</v>
      </c>
      <c r="F14" s="135">
        <f>920000-55000-198000</f>
        <v>667000</v>
      </c>
      <c r="G14" s="82">
        <f>621238+12480+13979</f>
        <v>647697</v>
      </c>
      <c r="H14" s="385">
        <f>771040+18640</f>
        <v>789680</v>
      </c>
      <c r="I14" s="94">
        <f t="shared" si="2"/>
        <v>0.21921206984129915</v>
      </c>
      <c r="J14" s="12"/>
      <c r="K14" s="31"/>
      <c r="L14" s="31"/>
      <c r="M14" s="31"/>
      <c r="N14" s="31"/>
      <c r="O14" s="31"/>
      <c r="P14" s="31"/>
      <c r="Q14" s="31"/>
      <c r="R14" s="31"/>
      <c r="S14" s="31"/>
    </row>
    <row r="15" spans="1:19" x14ac:dyDescent="0.25">
      <c r="A15" s="96"/>
      <c r="B15" s="40" t="s">
        <v>102</v>
      </c>
      <c r="C15" s="36">
        <f>228548+270648+272192+43980+272019+273051+273387+264269+264857+270956+273160+299716+297341</f>
        <v>3304124</v>
      </c>
      <c r="D15" s="36">
        <f>294075+311009+311064+310131+301850+(302902+48000)+303217+330177+324054+322476+321423+329440</f>
        <v>3809818</v>
      </c>
      <c r="E15" s="62">
        <v>4062000</v>
      </c>
      <c r="F15" s="134">
        <f>4062000+12000</f>
        <v>4074000</v>
      </c>
      <c r="G15" s="36">
        <f>325400+336450+337214+337604+337464+342362+335517+357287+338347+327770+329121+323768</f>
        <v>4028304</v>
      </c>
      <c r="H15" s="136">
        <v>3990000</v>
      </c>
      <c r="I15" s="94">
        <f t="shared" si="2"/>
        <v>-9.5087163232963068E-3</v>
      </c>
      <c r="J15" s="12"/>
      <c r="K15" s="31"/>
      <c r="L15" s="31"/>
      <c r="M15" s="31"/>
      <c r="N15" s="31"/>
      <c r="O15" s="31"/>
      <c r="P15" s="31"/>
      <c r="Q15" s="31"/>
      <c r="R15" s="31"/>
      <c r="S15" s="31"/>
    </row>
    <row r="16" spans="1:19" x14ac:dyDescent="0.25">
      <c r="A16" s="96"/>
      <c r="B16" s="40" t="s">
        <v>103</v>
      </c>
      <c r="C16" s="36">
        <f>517700+586432+585173+100050+592915+601790+604247+607430+612019+615420+614579+678803+690400</f>
        <v>7406958</v>
      </c>
      <c r="D16" s="36">
        <f>685362+691116+680111+688975+685553+(690867+108800)+690275+756570+759532+762213+767956+(775030+7250)</f>
        <v>8749610</v>
      </c>
      <c r="E16" s="30">
        <v>10043000</v>
      </c>
      <c r="F16" s="134">
        <f>10043000-281000</f>
        <v>9762000</v>
      </c>
      <c r="G16" s="36">
        <f>781797+802742+810457+806060+802040+840430+798319+836490+796236+796223+797071+797245</f>
        <v>9665110</v>
      </c>
      <c r="H16" s="136">
        <f>9770000-100000</f>
        <v>9670000</v>
      </c>
      <c r="I16" s="94">
        <f t="shared" si="2"/>
        <v>5.0594354332234026E-4</v>
      </c>
      <c r="J16" s="12"/>
      <c r="K16" s="31"/>
      <c r="L16" s="31"/>
      <c r="M16" s="31"/>
      <c r="N16" s="31"/>
      <c r="O16" s="31"/>
      <c r="P16" s="31"/>
      <c r="Q16" s="31"/>
      <c r="R16" s="31"/>
      <c r="S16" s="31"/>
    </row>
    <row r="17" spans="1:19" x14ac:dyDescent="0.25">
      <c r="A17" s="96"/>
      <c r="B17" s="40" t="s">
        <v>249</v>
      </c>
      <c r="C17" s="83"/>
      <c r="D17" s="115">
        <v>12095</v>
      </c>
      <c r="E17" s="115">
        <v>12000</v>
      </c>
      <c r="F17" s="136">
        <v>0</v>
      </c>
      <c r="G17" s="115"/>
      <c r="H17" s="136"/>
      <c r="I17" s="94"/>
      <c r="J17" s="12"/>
      <c r="K17" s="31"/>
      <c r="L17" s="31"/>
      <c r="M17" s="31"/>
      <c r="N17" s="31"/>
      <c r="O17" s="31"/>
      <c r="P17" s="31"/>
      <c r="Q17" s="31"/>
      <c r="R17" s="31"/>
      <c r="S17" s="31"/>
    </row>
    <row r="18" spans="1:19" x14ac:dyDescent="0.25">
      <c r="A18" s="95"/>
      <c r="B18" s="441" t="s">
        <v>104</v>
      </c>
      <c r="C18" s="34">
        <f>SUM(C19:C26)</f>
        <v>28671627.800000001</v>
      </c>
      <c r="D18" s="34">
        <f>SUM(D19:D27)</f>
        <v>36228631.790000007</v>
      </c>
      <c r="E18" s="34">
        <f>SUM(E19:E27)</f>
        <v>42746580</v>
      </c>
      <c r="F18" s="137">
        <f>SUM(F19:F27)</f>
        <v>44971400</v>
      </c>
      <c r="G18" s="34">
        <f>SUM(G19:G27)</f>
        <v>40322940.140000008</v>
      </c>
      <c r="H18" s="137">
        <f>SUM(H19:H27)</f>
        <v>50203710</v>
      </c>
      <c r="I18" s="94">
        <f t="shared" ref="I18:I71" si="3">H18/G18-1</f>
        <v>0.24504090787264676</v>
      </c>
      <c r="J18" s="12"/>
      <c r="K18" s="31"/>
      <c r="L18" s="31"/>
      <c r="M18" s="31"/>
      <c r="N18" s="31"/>
      <c r="O18" s="31"/>
      <c r="P18" s="31"/>
      <c r="Q18" s="31"/>
      <c r="R18" s="31"/>
      <c r="S18" s="31"/>
    </row>
    <row r="19" spans="1:19" x14ac:dyDescent="0.25">
      <c r="A19" s="96"/>
      <c r="B19" s="40" t="s">
        <v>100</v>
      </c>
      <c r="C19" s="36">
        <v>12697330.960000001</v>
      </c>
      <c r="D19" s="115">
        <f>13669297.95-5245.29</f>
        <v>13664052.66</v>
      </c>
      <c r="E19" s="62">
        <v>15900000</v>
      </c>
      <c r="F19" s="134">
        <f>15793720-65100-141000+84500</f>
        <v>15672120</v>
      </c>
      <c r="G19" s="115">
        <f>13575154.71+4602.15</f>
        <v>13579756.860000001</v>
      </c>
      <c r="H19" s="136">
        <f>16057450+640000</f>
        <v>16697450</v>
      </c>
      <c r="I19" s="94">
        <f t="shared" si="3"/>
        <v>0.22958387047292095</v>
      </c>
      <c r="J19" s="103"/>
      <c r="K19" s="31"/>
      <c r="M19" s="31"/>
      <c r="N19" s="31"/>
      <c r="O19" s="31"/>
      <c r="P19" s="31"/>
      <c r="Q19" s="31"/>
      <c r="R19" s="31"/>
      <c r="S19" s="31"/>
    </row>
    <row r="20" spans="1:19" x14ac:dyDescent="0.25">
      <c r="A20" s="96"/>
      <c r="B20" s="40" t="s">
        <v>176</v>
      </c>
      <c r="C20" s="36">
        <f>11041896.51-50123.87</f>
        <v>10991772.640000001</v>
      </c>
      <c r="D20" s="82">
        <f>16120074.3+395622.1-42101.85-118823.33</f>
        <v>16354771.220000001</v>
      </c>
      <c r="E20" s="37">
        <v>18833580</v>
      </c>
      <c r="F20" s="138">
        <f>19816780+1050000+262500</f>
        <v>21129280</v>
      </c>
      <c r="G20" s="82">
        <f>19786895.87+14320.89</f>
        <v>19801216.760000002</v>
      </c>
      <c r="H20" s="384">
        <f>23570420+315000+108000</f>
        <v>23993420</v>
      </c>
      <c r="I20" s="94">
        <f t="shared" si="3"/>
        <v>0.21171442597752765</v>
      </c>
      <c r="J20" s="103"/>
      <c r="K20" s="31"/>
      <c r="L20" s="31"/>
      <c r="M20" s="31"/>
      <c r="N20" s="31"/>
      <c r="O20" s="31"/>
      <c r="P20" s="31"/>
      <c r="Q20" s="31"/>
      <c r="R20" s="31"/>
      <c r="S20" s="31"/>
    </row>
    <row r="21" spans="1:19" x14ac:dyDescent="0.25">
      <c r="A21" s="96"/>
      <c r="B21" s="40" t="s">
        <v>251</v>
      </c>
      <c r="C21" s="36">
        <f>581308.8+982147.24</f>
        <v>1563456.04</v>
      </c>
      <c r="D21" s="116">
        <f>688813.14+1036748.65</f>
        <v>1725561.79</v>
      </c>
      <c r="E21" s="30">
        <f>1300000+820000</f>
        <v>2120000</v>
      </c>
      <c r="F21" s="134">
        <f>1292000+895000</f>
        <v>2187000</v>
      </c>
      <c r="G21" s="116">
        <f>1177492.32+876137.36</f>
        <v>2053629.6800000002</v>
      </c>
      <c r="H21" s="384">
        <f>1362250+1168000</f>
        <v>2530250</v>
      </c>
      <c r="I21" s="94">
        <f t="shared" si="3"/>
        <v>0.23208678986369136</v>
      </c>
      <c r="J21" s="103"/>
      <c r="K21" s="31"/>
      <c r="L21" s="31"/>
      <c r="M21" s="31"/>
      <c r="N21" s="31"/>
      <c r="O21" s="31"/>
      <c r="P21" s="31"/>
      <c r="Q21" s="31"/>
      <c r="R21" s="31"/>
      <c r="S21" s="31"/>
    </row>
    <row r="22" spans="1:19" x14ac:dyDescent="0.25">
      <c r="A22" s="96"/>
      <c r="B22" s="40" t="s">
        <v>261</v>
      </c>
      <c r="C22" s="36">
        <v>232030.49</v>
      </c>
      <c r="D22" s="115">
        <v>278761.57</v>
      </c>
      <c r="E22" s="37">
        <v>350000</v>
      </c>
      <c r="F22" s="138">
        <f>350000-12000-34000</f>
        <v>304000</v>
      </c>
      <c r="G22" s="115">
        <v>272803.34000000003</v>
      </c>
      <c r="H22" s="136">
        <f>412540+350575+5</f>
        <v>763120</v>
      </c>
      <c r="I22" s="94">
        <f t="shared" si="3"/>
        <v>1.7973264550206749</v>
      </c>
      <c r="J22" s="103"/>
      <c r="L22" s="31"/>
    </row>
    <row r="23" spans="1:19" x14ac:dyDescent="0.25">
      <c r="A23" s="96"/>
      <c r="B23" s="40" t="s">
        <v>262</v>
      </c>
      <c r="C23" s="36">
        <v>7371.53</v>
      </c>
      <c r="D23" s="115">
        <v>210823.44</v>
      </c>
      <c r="E23" s="37">
        <v>443000</v>
      </c>
      <c r="F23" s="138">
        <f>432000+20000-69000</f>
        <v>383000</v>
      </c>
      <c r="G23" s="115">
        <v>352905.99</v>
      </c>
      <c r="H23" s="136">
        <f>517500+350575-5</f>
        <v>868070</v>
      </c>
      <c r="I23" s="94">
        <f t="shared" si="3"/>
        <v>1.4597768941241265</v>
      </c>
      <c r="J23" s="103"/>
      <c r="L23" s="31"/>
    </row>
    <row r="24" spans="1:19" x14ac:dyDescent="0.25">
      <c r="A24" s="96"/>
      <c r="B24" s="40" t="s">
        <v>101</v>
      </c>
      <c r="C24" s="35">
        <v>2684900.9</v>
      </c>
      <c r="D24" s="81">
        <v>2883002.47</v>
      </c>
      <c r="E24" s="61">
        <f>859000+2966000</f>
        <v>3825000</v>
      </c>
      <c r="F24" s="138">
        <f>859000+2966000+88000</f>
        <v>3913000</v>
      </c>
      <c r="G24" s="115">
        <f>3341458.23</f>
        <v>3341458.23</v>
      </c>
      <c r="H24" s="136">
        <f>1804500+(3485000/32*22.4)</f>
        <v>4244000</v>
      </c>
      <c r="I24" s="94">
        <f t="shared" si="3"/>
        <v>0.27010416048205399</v>
      </c>
      <c r="J24" s="103"/>
      <c r="L24" s="31"/>
    </row>
    <row r="25" spans="1:19" x14ac:dyDescent="0.25">
      <c r="A25" s="96"/>
      <c r="B25" s="40" t="s">
        <v>102</v>
      </c>
      <c r="C25" s="36">
        <v>126770.87</v>
      </c>
      <c r="D25" s="116">
        <v>176187.64</v>
      </c>
      <c r="E25" s="37">
        <v>190000</v>
      </c>
      <c r="F25" s="138">
        <f>220000+10000</f>
        <v>230000</v>
      </c>
      <c r="G25" s="116">
        <v>204492.15</v>
      </c>
      <c r="H25" s="384">
        <v>272400</v>
      </c>
      <c r="I25" s="94">
        <f t="shared" si="3"/>
        <v>0.33208047350472869</v>
      </c>
      <c r="J25" s="103"/>
    </row>
    <row r="26" spans="1:19" x14ac:dyDescent="0.25">
      <c r="A26" s="96"/>
      <c r="B26" s="40" t="s">
        <v>103</v>
      </c>
      <c r="C26" s="36">
        <v>367994.37</v>
      </c>
      <c r="D26" s="116">
        <v>446991</v>
      </c>
      <c r="E26" s="30">
        <v>830000</v>
      </c>
      <c r="F26" s="134">
        <f>830000+2000</f>
        <v>832000</v>
      </c>
      <c r="G26" s="116">
        <v>396448.6</v>
      </c>
      <c r="H26" s="384">
        <v>835000</v>
      </c>
      <c r="I26" s="94">
        <f t="shared" si="3"/>
        <v>1.1061998957746351</v>
      </c>
      <c r="J26" s="103"/>
    </row>
    <row r="27" spans="1:19" x14ac:dyDescent="0.25">
      <c r="A27" s="96"/>
      <c r="B27" s="40" t="s">
        <v>234</v>
      </c>
      <c r="C27" s="36"/>
      <c r="D27" s="115">
        <v>488480</v>
      </c>
      <c r="E27" s="115">
        <v>255000</v>
      </c>
      <c r="F27" s="136">
        <v>321000</v>
      </c>
      <c r="G27" s="115">
        <v>320228.53000000003</v>
      </c>
      <c r="H27" s="136">
        <v>0</v>
      </c>
      <c r="I27" s="94">
        <f t="shared" si="3"/>
        <v>-1</v>
      </c>
      <c r="J27" s="12"/>
    </row>
    <row r="28" spans="1:19" x14ac:dyDescent="0.25">
      <c r="A28" s="95" t="s">
        <v>105</v>
      </c>
      <c r="B28" s="441" t="s">
        <v>106</v>
      </c>
      <c r="C28" s="34">
        <f>SUM(C29:C36)+C46</f>
        <v>54594405.589999996</v>
      </c>
      <c r="D28" s="34">
        <f>SUM(D29:D36)+D46+D48</f>
        <v>67242749.159999996</v>
      </c>
      <c r="E28" s="34">
        <f>SUM(E29:E36)+E46+E48</f>
        <v>73295390</v>
      </c>
      <c r="F28" s="137">
        <f>SUM(F29:F36)+F46+F47+F48</f>
        <v>73461840</v>
      </c>
      <c r="G28" s="34">
        <f>SUM(G29:G36)+G46+G47+G48</f>
        <v>68702765.510000005</v>
      </c>
      <c r="H28" s="137">
        <f>SUM(H29:H36)+H46+H47+H48</f>
        <v>77754500</v>
      </c>
      <c r="I28" s="94">
        <f t="shared" si="3"/>
        <v>0.13175211249221808</v>
      </c>
      <c r="J28" s="12"/>
    </row>
    <row r="29" spans="1:19" x14ac:dyDescent="0.25">
      <c r="A29" s="96"/>
      <c r="B29" s="40" t="s">
        <v>99</v>
      </c>
      <c r="C29" s="100">
        <v>394072.81</v>
      </c>
      <c r="D29" s="115">
        <v>543128.22</v>
      </c>
      <c r="E29" s="37">
        <v>35560</v>
      </c>
      <c r="F29" s="138">
        <v>35560</v>
      </c>
      <c r="G29" s="115">
        <v>35427.839999999997</v>
      </c>
      <c r="H29" s="136">
        <v>0</v>
      </c>
      <c r="I29" s="94">
        <f t="shared" si="3"/>
        <v>-1</v>
      </c>
      <c r="J29" s="12"/>
    </row>
    <row r="30" spans="1:19" x14ac:dyDescent="0.25">
      <c r="A30" s="96"/>
      <c r="B30" s="40" t="s">
        <v>107</v>
      </c>
      <c r="C30" s="125">
        <f>25511461.6+931014.04</f>
        <v>26442475.640000001</v>
      </c>
      <c r="D30" s="81">
        <f>(3089063.72-8925)+27599686.5</f>
        <v>30679825.219999999</v>
      </c>
      <c r="E30" s="61">
        <f>28537970+3330000+1000000+948000</f>
        <v>33815970</v>
      </c>
      <c r="F30" s="138">
        <f>28523100+3132590+4595000+130000-133460</f>
        <v>36247230</v>
      </c>
      <c r="G30" s="115">
        <f>3454278.75+30075202.98</f>
        <v>33529481.73</v>
      </c>
      <c r="H30" s="136">
        <f>(5000000+3000000)+(32736080-961850)+500000</f>
        <v>40274230</v>
      </c>
      <c r="I30" s="94">
        <f t="shared" si="3"/>
        <v>0.20115873917505978</v>
      </c>
      <c r="J30" s="12"/>
      <c r="K30" s="31"/>
    </row>
    <row r="31" spans="1:19" ht="26.4" x14ac:dyDescent="0.25">
      <c r="A31" s="96"/>
      <c r="B31" s="40" t="s">
        <v>108</v>
      </c>
      <c r="C31" s="36">
        <f>14733000-405292.4</f>
        <v>14327707.6</v>
      </c>
      <c r="D31" s="115">
        <v>20783307.649999999</v>
      </c>
      <c r="E31" s="30">
        <f>23049860+157000+21600</f>
        <v>23228460</v>
      </c>
      <c r="F31" s="134">
        <f>23578460+6600</f>
        <v>23585060</v>
      </c>
      <c r="G31" s="36">
        <f>23295689.34+141095.6+27000</f>
        <v>23463784.940000001</v>
      </c>
      <c r="H31" s="136">
        <f>25217370</f>
        <v>25217370</v>
      </c>
      <c r="I31" s="94">
        <f t="shared" si="3"/>
        <v>7.4735813701163112E-2</v>
      </c>
      <c r="J31" s="12"/>
    </row>
    <row r="32" spans="1:19" ht="26.4" x14ac:dyDescent="0.25">
      <c r="A32" s="96"/>
      <c r="B32" s="40" t="s">
        <v>109</v>
      </c>
      <c r="C32" s="36">
        <v>8537.2999999999993</v>
      </c>
      <c r="D32" s="115">
        <v>1080</v>
      </c>
      <c r="E32" s="30"/>
      <c r="F32" s="134"/>
      <c r="G32" s="115"/>
      <c r="H32" s="136"/>
      <c r="I32" s="94"/>
      <c r="J32" s="12"/>
    </row>
    <row r="33" spans="1:14" ht="26.4" x14ac:dyDescent="0.25">
      <c r="A33" s="96"/>
      <c r="B33" s="40" t="s">
        <v>167</v>
      </c>
      <c r="C33" s="36">
        <f>2534150-1701677.51</f>
        <v>832472.49</v>
      </c>
      <c r="D33" s="115">
        <v>8401552.3300000001</v>
      </c>
      <c r="E33" s="30">
        <v>6925000</v>
      </c>
      <c r="F33" s="134">
        <f>6925000-2700000</f>
        <v>4225000</v>
      </c>
      <c r="G33" s="386">
        <v>4146385.15</v>
      </c>
      <c r="H33" s="136">
        <v>1000000</v>
      </c>
      <c r="I33" s="94">
        <f t="shared" si="3"/>
        <v>-0.75882607046284645</v>
      </c>
      <c r="J33" s="12"/>
    </row>
    <row r="34" spans="1:14" ht="52.8" x14ac:dyDescent="0.25">
      <c r="A34" s="96"/>
      <c r="B34" s="119" t="s">
        <v>226</v>
      </c>
      <c r="C34" s="36"/>
      <c r="D34" s="115">
        <v>699125</v>
      </c>
      <c r="E34" s="30"/>
      <c r="F34" s="134"/>
      <c r="G34" s="386"/>
      <c r="H34" s="136"/>
      <c r="I34" s="94"/>
      <c r="J34" s="12"/>
    </row>
    <row r="35" spans="1:14" ht="26.4" x14ac:dyDescent="0.25">
      <c r="A35" s="96"/>
      <c r="B35" s="119" t="s">
        <v>239</v>
      </c>
      <c r="C35" s="36"/>
      <c r="D35" s="115"/>
      <c r="E35" s="30">
        <v>180000</v>
      </c>
      <c r="F35" s="134">
        <v>180000</v>
      </c>
      <c r="G35" s="386">
        <v>180000</v>
      </c>
      <c r="H35" s="136">
        <v>0</v>
      </c>
      <c r="I35" s="94">
        <f t="shared" si="3"/>
        <v>-1</v>
      </c>
      <c r="J35" s="12"/>
    </row>
    <row r="36" spans="1:14" ht="79.2" x14ac:dyDescent="0.25">
      <c r="A36" s="96"/>
      <c r="B36" s="40" t="s">
        <v>192</v>
      </c>
      <c r="C36" s="36">
        <f t="shared" ref="C36:D36" si="4">C37+C39+C40+C41+C42+C43</f>
        <v>12526254.75</v>
      </c>
      <c r="D36" s="36">
        <f t="shared" si="4"/>
        <v>5751038.7400000002</v>
      </c>
      <c r="E36" s="36">
        <f>E37+E39+E40+E41+E42+E43+E44</f>
        <v>7392500</v>
      </c>
      <c r="F36" s="139">
        <f>F37+F39+F40+F41+F42+F43+F44+F45</f>
        <v>7480260</v>
      </c>
      <c r="G36" s="387">
        <f>G37+G39+G40+G41+G42+G43+G45</f>
        <v>6241011.4900000002</v>
      </c>
      <c r="H36" s="139">
        <f>H37+H39+H40+H41+H42+H43+H45</f>
        <v>7701760</v>
      </c>
      <c r="I36" s="94">
        <f t="shared" si="3"/>
        <v>0.23405637248714628</v>
      </c>
      <c r="J36" s="12"/>
      <c r="M36" s="31"/>
      <c r="N36" s="31"/>
    </row>
    <row r="37" spans="1:14" x14ac:dyDescent="0.25">
      <c r="A37" s="96"/>
      <c r="B37" s="40" t="s">
        <v>188</v>
      </c>
      <c r="C37" s="35">
        <v>30000</v>
      </c>
      <c r="D37" s="81">
        <v>30000</v>
      </c>
      <c r="E37" s="81">
        <v>30000</v>
      </c>
      <c r="F37" s="136">
        <v>30000</v>
      </c>
      <c r="G37" s="386">
        <v>30000</v>
      </c>
      <c r="H37" s="136">
        <v>30000</v>
      </c>
      <c r="I37" s="94">
        <f t="shared" si="3"/>
        <v>0</v>
      </c>
      <c r="J37" s="12"/>
    </row>
    <row r="38" spans="1:14" x14ac:dyDescent="0.25">
      <c r="A38" s="96"/>
      <c r="B38" s="40" t="s">
        <v>207</v>
      </c>
      <c r="C38" s="36"/>
      <c r="D38" s="115"/>
      <c r="E38" s="115"/>
      <c r="F38" s="136"/>
      <c r="G38" s="386"/>
      <c r="H38" s="136"/>
      <c r="I38" s="94" t="e">
        <f t="shared" si="3"/>
        <v>#DIV/0!</v>
      </c>
      <c r="J38" s="12"/>
    </row>
    <row r="39" spans="1:14" x14ac:dyDescent="0.25">
      <c r="A39" s="96"/>
      <c r="B39" s="40" t="s">
        <v>205</v>
      </c>
      <c r="C39" s="36">
        <v>34648.160000000003</v>
      </c>
      <c r="D39" s="115">
        <v>34823.800000000003</v>
      </c>
      <c r="E39" s="115">
        <v>36000</v>
      </c>
      <c r="F39" s="136">
        <v>36000</v>
      </c>
      <c r="G39" s="386">
        <v>35250.18</v>
      </c>
      <c r="H39" s="136">
        <v>36000</v>
      </c>
      <c r="I39" s="94">
        <f t="shared" si="3"/>
        <v>2.1271380741885615E-2</v>
      </c>
      <c r="J39" s="12"/>
    </row>
    <row r="40" spans="1:14" x14ac:dyDescent="0.25">
      <c r="A40" s="96"/>
      <c r="B40" s="79" t="s">
        <v>209</v>
      </c>
      <c r="C40" s="36">
        <v>2325905.4900000002</v>
      </c>
      <c r="D40" s="115">
        <v>2827277.21</v>
      </c>
      <c r="E40" s="115">
        <v>3230000</v>
      </c>
      <c r="F40" s="136">
        <v>3260000</v>
      </c>
      <c r="G40" s="386">
        <v>3072150.32</v>
      </c>
      <c r="H40" s="136">
        <v>4235430</v>
      </c>
      <c r="I40" s="94">
        <f t="shared" si="3"/>
        <v>0.3786532424624327</v>
      </c>
      <c r="J40" s="12"/>
    </row>
    <row r="41" spans="1:14" x14ac:dyDescent="0.25">
      <c r="A41" s="96"/>
      <c r="B41" s="79" t="s">
        <v>210</v>
      </c>
      <c r="C41" s="36">
        <v>1019416.1</v>
      </c>
      <c r="D41" s="115">
        <f>1660673.7+105671.03</f>
        <v>1766344.73</v>
      </c>
      <c r="E41" s="115">
        <v>2931500</v>
      </c>
      <c r="F41" s="136">
        <f>2939700-8200</f>
        <v>2931500</v>
      </c>
      <c r="G41" s="386">
        <f>1899337.99-7702</f>
        <v>1891635.99</v>
      </c>
      <c r="H41" s="136">
        <v>2102000</v>
      </c>
      <c r="I41" s="94">
        <f t="shared" si="3"/>
        <v>0.111207447475135</v>
      </c>
      <c r="J41" s="12"/>
    </row>
    <row r="42" spans="1:14" x14ac:dyDescent="0.25">
      <c r="A42" s="96"/>
      <c r="B42" s="79" t="s">
        <v>211</v>
      </c>
      <c r="C42" s="36">
        <f>32726+583846</f>
        <v>616572</v>
      </c>
      <c r="D42" s="115">
        <f>1067090+25503</f>
        <v>1092593</v>
      </c>
      <c r="E42" s="115">
        <f>45000+1070000</f>
        <v>1115000</v>
      </c>
      <c r="F42" s="136">
        <f>46600+1167960</f>
        <v>1214560</v>
      </c>
      <c r="G42" s="386">
        <f>37808+1166465</f>
        <v>1204273</v>
      </c>
      <c r="H42" s="136">
        <f>32500+1250000</f>
        <v>1282500</v>
      </c>
      <c r="I42" s="94">
        <f t="shared" si="3"/>
        <v>6.4957862544456235E-2</v>
      </c>
      <c r="J42" s="12"/>
    </row>
    <row r="43" spans="1:14" x14ac:dyDescent="0.25">
      <c r="A43" s="96"/>
      <c r="B43" s="79" t="s">
        <v>212</v>
      </c>
      <c r="C43" s="36">
        <f>8499713</f>
        <v>8499713</v>
      </c>
      <c r="D43" s="115"/>
      <c r="E43" s="115"/>
      <c r="F43" s="136"/>
      <c r="G43" s="386"/>
      <c r="H43" s="136"/>
      <c r="I43" s="94"/>
      <c r="J43" s="12"/>
    </row>
    <row r="44" spans="1:14" x14ac:dyDescent="0.25">
      <c r="A44" s="96"/>
      <c r="B44" s="79" t="s">
        <v>238</v>
      </c>
      <c r="C44" s="35"/>
      <c r="D44" s="81"/>
      <c r="E44" s="81">
        <v>50000</v>
      </c>
      <c r="F44" s="136">
        <v>0</v>
      </c>
      <c r="G44" s="386"/>
      <c r="H44" s="136"/>
      <c r="I44" s="94"/>
      <c r="J44" s="12"/>
    </row>
    <row r="45" spans="1:14" x14ac:dyDescent="0.25">
      <c r="A45" s="96"/>
      <c r="B45" s="79" t="s">
        <v>254</v>
      </c>
      <c r="C45" s="35"/>
      <c r="D45" s="81"/>
      <c r="E45" s="81"/>
      <c r="F45" s="81">
        <v>8200</v>
      </c>
      <c r="G45" s="386">
        <v>7702</v>
      </c>
      <c r="H45" s="136">
        <v>15830</v>
      </c>
      <c r="I45" s="94">
        <f t="shared" si="3"/>
        <v>1.0553103090106464</v>
      </c>
      <c r="J45" s="12"/>
    </row>
    <row r="46" spans="1:14" x14ac:dyDescent="0.25">
      <c r="A46" s="96"/>
      <c r="B46" s="79" t="s">
        <v>213</v>
      </c>
      <c r="C46" s="36">
        <v>62885</v>
      </c>
      <c r="D46" s="115">
        <v>261800</v>
      </c>
      <c r="E46" s="115">
        <v>418900</v>
      </c>
      <c r="F46" s="136">
        <v>318900</v>
      </c>
      <c r="G46" s="386">
        <f>304891</f>
        <v>304891</v>
      </c>
      <c r="H46" s="136">
        <v>421850</v>
      </c>
      <c r="I46" s="94">
        <f t="shared" si="3"/>
        <v>0.38360922428015254</v>
      </c>
      <c r="J46" s="12"/>
    </row>
    <row r="47" spans="1:14" x14ac:dyDescent="0.25">
      <c r="A47" s="96"/>
      <c r="B47" s="79" t="s">
        <v>247</v>
      </c>
      <c r="C47" s="36"/>
      <c r="D47" s="115"/>
      <c r="E47" s="115"/>
      <c r="F47" s="136">
        <v>90830</v>
      </c>
      <c r="G47" s="386">
        <v>90827</v>
      </c>
      <c r="H47" s="139">
        <v>0</v>
      </c>
      <c r="I47" s="94">
        <f t="shared" si="3"/>
        <v>-1</v>
      </c>
      <c r="J47" s="12"/>
    </row>
    <row r="48" spans="1:14" x14ac:dyDescent="0.25">
      <c r="A48" s="96"/>
      <c r="B48" s="79" t="s">
        <v>225</v>
      </c>
      <c r="C48" s="36"/>
      <c r="D48" s="115">
        <v>121892</v>
      </c>
      <c r="E48" s="115">
        <v>1299000</v>
      </c>
      <c r="F48" s="136">
        <v>1299000</v>
      </c>
      <c r="G48" s="386">
        <v>710956.36</v>
      </c>
      <c r="H48" s="136">
        <f>1057*180*16.5</f>
        <v>3139290</v>
      </c>
      <c r="I48" s="94">
        <f t="shared" si="3"/>
        <v>3.4155874771272883</v>
      </c>
      <c r="J48" s="12"/>
    </row>
    <row r="49" spans="1:11" x14ac:dyDescent="0.25">
      <c r="A49" s="95" t="s">
        <v>110</v>
      </c>
      <c r="B49" s="441" t="s">
        <v>111</v>
      </c>
      <c r="C49" s="34">
        <f t="shared" ref="C49:H49" si="5">SUM(C50:C54)</f>
        <v>8510968.2899999991</v>
      </c>
      <c r="D49" s="34">
        <f t="shared" si="5"/>
        <v>12092399.869999999</v>
      </c>
      <c r="E49" s="34">
        <f t="shared" si="5"/>
        <v>14526410</v>
      </c>
      <c r="F49" s="137">
        <f t="shared" si="5"/>
        <v>14418410</v>
      </c>
      <c r="G49" s="388">
        <f t="shared" si="5"/>
        <v>13154753.9</v>
      </c>
      <c r="H49" s="137">
        <f t="shared" si="5"/>
        <v>14238860</v>
      </c>
      <c r="I49" s="94">
        <f t="shared" si="3"/>
        <v>8.2411735577964773E-2</v>
      </c>
      <c r="J49" s="12"/>
      <c r="K49" s="31"/>
    </row>
    <row r="50" spans="1:11" x14ac:dyDescent="0.25">
      <c r="A50" s="96"/>
      <c r="B50" s="40" t="s">
        <v>112</v>
      </c>
      <c r="C50" s="65">
        <f>504015+527728+584160+610243+643976+656940+669730+670651+760992+815307+728192+719441</f>
        <v>7891375</v>
      </c>
      <c r="D50" s="65">
        <f>689623+728319+800010+976099+1116300+979087+1045225+1044641+1032489+1027719+1036603+1029679</f>
        <v>11505794</v>
      </c>
      <c r="E50" s="65">
        <v>13523310</v>
      </c>
      <c r="F50" s="140">
        <f>13523310</f>
        <v>13523310</v>
      </c>
      <c r="G50" s="389">
        <f>1016572+1032706+1042669+1063979+1053130+1107327+1068908+1064879+1032777+1073933+1045005+1024089</f>
        <v>12625974</v>
      </c>
      <c r="H50" s="136">
        <f>13173260+65600</f>
        <v>13238860</v>
      </c>
      <c r="I50" s="94">
        <f t="shared" si="3"/>
        <v>4.8541680823990241E-2</v>
      </c>
      <c r="J50" s="12"/>
    </row>
    <row r="51" spans="1:11" x14ac:dyDescent="0.25">
      <c r="A51" s="96"/>
      <c r="B51" s="40" t="s">
        <v>178</v>
      </c>
      <c r="C51" s="36">
        <v>42126.9</v>
      </c>
      <c r="D51" s="115"/>
      <c r="E51" s="36"/>
      <c r="F51" s="139"/>
      <c r="G51" s="386"/>
      <c r="H51" s="136"/>
      <c r="I51" s="94"/>
      <c r="J51" s="12"/>
    </row>
    <row r="52" spans="1:11" x14ac:dyDescent="0.25">
      <c r="A52" s="96"/>
      <c r="B52" s="40" t="s">
        <v>179</v>
      </c>
      <c r="C52" s="36">
        <f>190703+1220.39</f>
        <v>191923.39</v>
      </c>
      <c r="D52" s="115">
        <v>397843.53</v>
      </c>
      <c r="E52" s="36">
        <v>450000</v>
      </c>
      <c r="F52" s="139">
        <f>382000-40000</f>
        <v>342000</v>
      </c>
      <c r="G52" s="386">
        <v>334680.90000000002</v>
      </c>
      <c r="H52" s="136">
        <v>447000</v>
      </c>
      <c r="I52" s="94">
        <f t="shared" si="3"/>
        <v>0.33560056758542234</v>
      </c>
      <c r="J52" s="12"/>
      <c r="K52" s="31"/>
    </row>
    <row r="53" spans="1:11" x14ac:dyDescent="0.25">
      <c r="A53" s="96"/>
      <c r="B53" s="40" t="s">
        <v>113</v>
      </c>
      <c r="C53" s="82">
        <v>104307</v>
      </c>
      <c r="D53" s="116">
        <v>144723</v>
      </c>
      <c r="E53" s="39">
        <v>203100</v>
      </c>
      <c r="F53" s="135">
        <v>203100</v>
      </c>
      <c r="G53" s="390">
        <v>156342</v>
      </c>
      <c r="H53" s="384">
        <v>203000</v>
      </c>
      <c r="I53" s="94">
        <f t="shared" si="3"/>
        <v>0.29843548118867602</v>
      </c>
      <c r="J53" s="12"/>
      <c r="K53" s="31"/>
    </row>
    <row r="54" spans="1:11" x14ac:dyDescent="0.25">
      <c r="A54" s="96"/>
      <c r="B54" s="40" t="s">
        <v>191</v>
      </c>
      <c r="C54" s="65">
        <f>281236</f>
        <v>281236</v>
      </c>
      <c r="D54" s="115">
        <v>44039.34</v>
      </c>
      <c r="E54" s="67">
        <v>350000</v>
      </c>
      <c r="F54" s="141">
        <v>350000</v>
      </c>
      <c r="G54" s="386">
        <v>37757</v>
      </c>
      <c r="H54" s="136">
        <v>350000</v>
      </c>
      <c r="I54" s="94">
        <f t="shared" si="3"/>
        <v>8.269804274704029</v>
      </c>
      <c r="J54" s="12"/>
      <c r="K54" s="31"/>
    </row>
    <row r="55" spans="1:11" x14ac:dyDescent="0.25">
      <c r="A55" s="95" t="s">
        <v>114</v>
      </c>
      <c r="B55" s="441" t="s">
        <v>115</v>
      </c>
      <c r="C55" s="34">
        <f t="shared" ref="C55:H55" si="6">SUM(C56:C59)</f>
        <v>27712541.16</v>
      </c>
      <c r="D55" s="34">
        <f t="shared" si="6"/>
        <v>31874150.009999998</v>
      </c>
      <c r="E55" s="34">
        <f t="shared" si="6"/>
        <v>33676470</v>
      </c>
      <c r="F55" s="137">
        <f t="shared" si="6"/>
        <v>35141180</v>
      </c>
      <c r="G55" s="388">
        <f t="shared" si="6"/>
        <v>33365975.789999999</v>
      </c>
      <c r="H55" s="137">
        <f t="shared" si="6"/>
        <v>37929940</v>
      </c>
      <c r="I55" s="94">
        <f t="shared" si="3"/>
        <v>0.13678497637008569</v>
      </c>
      <c r="J55" s="12"/>
      <c r="K55" s="31"/>
    </row>
    <row r="56" spans="1:11" x14ac:dyDescent="0.25">
      <c r="A56" s="96"/>
      <c r="B56" s="40" t="s">
        <v>116</v>
      </c>
      <c r="C56" s="36">
        <v>16109621.369999999</v>
      </c>
      <c r="D56" s="115">
        <v>17703270.649999999</v>
      </c>
      <c r="E56" s="62">
        <v>19000000</v>
      </c>
      <c r="F56" s="134">
        <v>20500000</v>
      </c>
      <c r="G56" s="386">
        <v>20442026.879999999</v>
      </c>
      <c r="H56" s="136">
        <v>22500000</v>
      </c>
      <c r="I56" s="94">
        <f t="shared" si="3"/>
        <v>0.10067363339657254</v>
      </c>
      <c r="J56" s="12"/>
      <c r="K56" s="31"/>
    </row>
    <row r="57" spans="1:11" x14ac:dyDescent="0.25">
      <c r="A57" s="96"/>
      <c r="B57" s="40" t="s">
        <v>117</v>
      </c>
      <c r="C57" s="36">
        <v>5443019.7599999998</v>
      </c>
      <c r="D57" s="115">
        <f>6902608.06-149422.16</f>
        <v>6753185.8999999994</v>
      </c>
      <c r="E57" s="61">
        <v>7131060</v>
      </c>
      <c r="F57" s="138">
        <f>7321060+100810</f>
        <v>7421870</v>
      </c>
      <c r="G57" s="386">
        <v>6705231.1100000003</v>
      </c>
      <c r="H57" s="136">
        <v>8569860</v>
      </c>
      <c r="I57" s="94">
        <f t="shared" si="3"/>
        <v>0.27808570046439463</v>
      </c>
      <c r="J57" s="12"/>
      <c r="K57" s="31"/>
    </row>
    <row r="58" spans="1:11" x14ac:dyDescent="0.25">
      <c r="A58" s="96"/>
      <c r="B58" s="40" t="s">
        <v>118</v>
      </c>
      <c r="C58" s="36">
        <f>3725750.03-100000</f>
        <v>3625750.03</v>
      </c>
      <c r="D58" s="115">
        <f>4131788.49</f>
        <v>4131788.49</v>
      </c>
      <c r="E58" s="37">
        <v>4595410</v>
      </c>
      <c r="F58" s="138">
        <f>4695410-6100-220000</f>
        <v>4469310</v>
      </c>
      <c r="G58" s="386">
        <f>3972438.73-141165.66</f>
        <v>3831273.07</v>
      </c>
      <c r="H58" s="136">
        <v>4360080</v>
      </c>
      <c r="I58" s="94">
        <f t="shared" si="3"/>
        <v>0.13802381619329473</v>
      </c>
      <c r="J58" s="12"/>
      <c r="K58" s="31"/>
    </row>
    <row r="59" spans="1:11" x14ac:dyDescent="0.25">
      <c r="A59" s="96"/>
      <c r="B59" s="40" t="s">
        <v>174</v>
      </c>
      <c r="C59" s="36">
        <v>2534150</v>
      </c>
      <c r="D59" s="115">
        <v>3285904.97</v>
      </c>
      <c r="E59" s="37">
        <v>2950000</v>
      </c>
      <c r="F59" s="138">
        <f>2950000+300000-500000</f>
        <v>2750000</v>
      </c>
      <c r="G59" s="386">
        <v>2387444.73</v>
      </c>
      <c r="H59" s="136">
        <v>2500000</v>
      </c>
      <c r="I59" s="94">
        <f t="shared" si="3"/>
        <v>4.7144659972924385E-2</v>
      </c>
      <c r="J59" s="12"/>
      <c r="K59" s="31"/>
    </row>
    <row r="60" spans="1:11" x14ac:dyDescent="0.25">
      <c r="A60" s="95" t="s">
        <v>119</v>
      </c>
      <c r="B60" s="441" t="s">
        <v>120</v>
      </c>
      <c r="C60" s="34">
        <f t="shared" ref="C60:H60" si="7">SUM(C61:C69)</f>
        <v>723131.84000000008</v>
      </c>
      <c r="D60" s="34">
        <f t="shared" si="7"/>
        <v>6941712.8699999992</v>
      </c>
      <c r="E60" s="34">
        <f t="shared" si="7"/>
        <v>5559000</v>
      </c>
      <c r="F60" s="137">
        <f t="shared" si="7"/>
        <v>4059000</v>
      </c>
      <c r="G60" s="388">
        <f t="shared" si="7"/>
        <v>1015507.06</v>
      </c>
      <c r="H60" s="137">
        <f t="shared" si="7"/>
        <v>1099000</v>
      </c>
      <c r="I60" s="94">
        <f t="shared" si="3"/>
        <v>8.2217980838065197E-2</v>
      </c>
      <c r="J60" s="12"/>
      <c r="K60" s="31"/>
    </row>
    <row r="61" spans="1:11" x14ac:dyDescent="0.25">
      <c r="A61" s="96"/>
      <c r="B61" s="40" t="s">
        <v>121</v>
      </c>
      <c r="C61" s="36">
        <v>331271.83</v>
      </c>
      <c r="D61" s="115">
        <f>399999.67</f>
        <v>399999.67</v>
      </c>
      <c r="E61" s="115">
        <v>400000</v>
      </c>
      <c r="F61" s="136">
        <v>400000</v>
      </c>
      <c r="G61" s="386">
        <v>380902.07</v>
      </c>
      <c r="H61" s="136">
        <v>430000</v>
      </c>
      <c r="I61" s="94">
        <f t="shared" si="3"/>
        <v>0.12889908946937467</v>
      </c>
      <c r="J61" s="12"/>
      <c r="K61" s="31"/>
    </row>
    <row r="62" spans="1:11" ht="39.6" x14ac:dyDescent="0.25">
      <c r="A62" s="96"/>
      <c r="B62" s="119" t="s">
        <v>227</v>
      </c>
      <c r="C62" s="36"/>
      <c r="D62" s="115">
        <v>100000</v>
      </c>
      <c r="E62" s="115"/>
      <c r="F62" s="136"/>
      <c r="G62" s="386"/>
      <c r="H62" s="136"/>
      <c r="I62" s="94"/>
      <c r="J62" s="12"/>
      <c r="K62" s="31"/>
    </row>
    <row r="63" spans="1:11" ht="39.6" x14ac:dyDescent="0.25">
      <c r="A63" s="96"/>
      <c r="B63" s="119" t="s">
        <v>228</v>
      </c>
      <c r="C63" s="36"/>
      <c r="D63" s="115">
        <v>1999905</v>
      </c>
      <c r="E63" s="115"/>
      <c r="F63" s="136"/>
      <c r="G63" s="386"/>
      <c r="H63" s="136"/>
      <c r="I63" s="94"/>
      <c r="J63" s="12"/>
      <c r="K63" s="31"/>
    </row>
    <row r="64" spans="1:11" ht="26.4" x14ac:dyDescent="0.25">
      <c r="A64" s="96"/>
      <c r="B64" s="119" t="s">
        <v>229</v>
      </c>
      <c r="C64" s="36"/>
      <c r="D64" s="115">
        <v>1000000</v>
      </c>
      <c r="E64" s="115"/>
      <c r="F64" s="136"/>
      <c r="G64" s="386"/>
      <c r="H64" s="136"/>
      <c r="I64" s="94"/>
      <c r="J64" s="12"/>
      <c r="K64" s="31"/>
    </row>
    <row r="65" spans="1:18" x14ac:dyDescent="0.25">
      <c r="A65" s="96"/>
      <c r="B65" s="40" t="s">
        <v>183</v>
      </c>
      <c r="C65" s="36">
        <f>276860.01</f>
        <v>276860.01</v>
      </c>
      <c r="D65" s="117">
        <f>3300+(38034+59479.83+15955.95+20000+3000)+(33370+35828.99+50000+25000+78690+20000)+12221.99+(9200+18912+25000)+(17496+12000+16700)</f>
        <v>494188.76</v>
      </c>
      <c r="E65" s="115">
        <v>500000</v>
      </c>
      <c r="F65" s="136">
        <v>500000</v>
      </c>
      <c r="G65" s="386">
        <v>478477.33</v>
      </c>
      <c r="H65" s="136">
        <v>500000</v>
      </c>
      <c r="I65" s="94">
        <f t="shared" si="3"/>
        <v>4.4981587737918494E-2</v>
      </c>
      <c r="J65" s="12"/>
      <c r="K65" s="31"/>
    </row>
    <row r="66" spans="1:18" ht="52.8" x14ac:dyDescent="0.25">
      <c r="A66" s="96"/>
      <c r="B66" s="119" t="s">
        <v>944</v>
      </c>
      <c r="C66" s="36"/>
      <c r="D66" s="115">
        <v>2772866.59</v>
      </c>
      <c r="E66" s="115">
        <v>3000000</v>
      </c>
      <c r="F66" s="136">
        <v>3000000</v>
      </c>
      <c r="G66" s="386"/>
      <c r="H66" s="136"/>
      <c r="I66" s="94"/>
      <c r="J66" s="12"/>
      <c r="K66" s="31"/>
    </row>
    <row r="67" spans="1:18" x14ac:dyDescent="0.25">
      <c r="A67" s="96"/>
      <c r="B67" s="40" t="s">
        <v>237</v>
      </c>
      <c r="C67" s="36"/>
      <c r="D67" s="115">
        <v>0</v>
      </c>
      <c r="E67" s="115">
        <v>1500000</v>
      </c>
      <c r="F67" s="136">
        <v>0</v>
      </c>
      <c r="G67" s="386"/>
      <c r="H67" s="136">
        <f>1500000-1500000</f>
        <v>0</v>
      </c>
      <c r="I67" s="94"/>
      <c r="J67" s="12"/>
      <c r="K67" s="31"/>
    </row>
    <row r="68" spans="1:18" x14ac:dyDescent="0.25">
      <c r="A68" s="96"/>
      <c r="B68" s="40" t="s">
        <v>161</v>
      </c>
      <c r="C68" s="36">
        <v>15000</v>
      </c>
      <c r="D68" s="115">
        <v>15000</v>
      </c>
      <c r="E68" s="115">
        <v>15000</v>
      </c>
      <c r="F68" s="136">
        <v>15000</v>
      </c>
      <c r="G68" s="115">
        <v>14962</v>
      </c>
      <c r="H68" s="136">
        <v>15000</v>
      </c>
      <c r="I68" s="94">
        <f t="shared" si="3"/>
        <v>2.5397674107738855E-3</v>
      </c>
      <c r="J68" s="12"/>
      <c r="K68" s="31"/>
    </row>
    <row r="69" spans="1:18" x14ac:dyDescent="0.25">
      <c r="A69" s="96"/>
      <c r="B69" s="40" t="s">
        <v>171</v>
      </c>
      <c r="C69" s="65">
        <v>100000</v>
      </c>
      <c r="D69" s="115">
        <v>159752.85</v>
      </c>
      <c r="E69" s="115">
        <v>144000</v>
      </c>
      <c r="F69" s="136">
        <v>144000</v>
      </c>
      <c r="G69" s="115">
        <v>141165.66</v>
      </c>
      <c r="H69" s="136">
        <v>154000</v>
      </c>
      <c r="I69" s="94">
        <f t="shared" si="3"/>
        <v>9.0916870292675922E-2</v>
      </c>
      <c r="J69" s="12"/>
      <c r="K69" s="31"/>
    </row>
    <row r="70" spans="1:18" x14ac:dyDescent="0.25">
      <c r="A70" s="95" t="s">
        <v>122</v>
      </c>
      <c r="B70" s="441" t="s">
        <v>123</v>
      </c>
      <c r="C70" s="34">
        <f>SUM(C71:C77)</f>
        <v>123198356.99000001</v>
      </c>
      <c r="D70" s="34">
        <f>SUM(D71:D77)</f>
        <v>198371710.34</v>
      </c>
      <c r="E70" s="34">
        <f t="shared" ref="E70:H70" si="8">SUM(E71:E77)</f>
        <v>173884490</v>
      </c>
      <c r="F70" s="137">
        <f t="shared" si="8"/>
        <v>188565490</v>
      </c>
      <c r="G70" s="34">
        <f t="shared" si="8"/>
        <v>184181192.77000001</v>
      </c>
      <c r="H70" s="137">
        <f t="shared" si="8"/>
        <v>177663000</v>
      </c>
      <c r="I70" s="94">
        <f t="shared" si="3"/>
        <v>-3.5390110531750896E-2</v>
      </c>
      <c r="J70" s="12"/>
      <c r="K70" s="31"/>
    </row>
    <row r="71" spans="1:18" x14ac:dyDescent="0.25">
      <c r="A71" s="96"/>
      <c r="B71" s="40" t="s">
        <v>124</v>
      </c>
      <c r="C71" s="36">
        <f>33674070-145501-13839-2414442.11</f>
        <v>31100287.890000001</v>
      </c>
      <c r="D71" s="115">
        <f>(44754258.27+171264.8+26858.3)+844625</f>
        <v>45797006.369999997</v>
      </c>
      <c r="E71" s="62">
        <v>45899030</v>
      </c>
      <c r="F71" s="134">
        <v>42948430</v>
      </c>
      <c r="G71" s="115">
        <v>42904777.25</v>
      </c>
      <c r="H71" s="136">
        <v>45000000</v>
      </c>
      <c r="I71" s="94">
        <f t="shared" si="3"/>
        <v>4.8834253066772471E-2</v>
      </c>
      <c r="J71" s="12"/>
      <c r="K71" s="31"/>
      <c r="R71" s="31"/>
    </row>
    <row r="72" spans="1:18" x14ac:dyDescent="0.25">
      <c r="A72" s="96"/>
      <c r="B72" s="40" t="s">
        <v>125</v>
      </c>
      <c r="C72" s="36">
        <v>21741922.48</v>
      </c>
      <c r="D72" s="117">
        <v>18076979.460000001</v>
      </c>
      <c r="E72" s="62">
        <v>20858000</v>
      </c>
      <c r="F72" s="134">
        <v>20858000</v>
      </c>
      <c r="G72" s="115">
        <v>19993131.449999999</v>
      </c>
      <c r="H72" s="136">
        <v>21000000</v>
      </c>
      <c r="I72" s="94">
        <f t="shared" ref="I72:I123" si="9">H72/G72-1</f>
        <v>5.0360722757114784E-2</v>
      </c>
      <c r="J72" s="12"/>
      <c r="K72" s="31"/>
      <c r="R72" s="31"/>
    </row>
    <row r="73" spans="1:18" x14ac:dyDescent="0.25">
      <c r="A73" s="96"/>
      <c r="B73" s="38" t="s">
        <v>126</v>
      </c>
      <c r="C73" s="36">
        <f>6002737.35+75992.08</f>
        <v>6078729.4299999997</v>
      </c>
      <c r="D73" s="117">
        <f>11089465.26+198968</f>
        <v>11288433.26</v>
      </c>
      <c r="E73" s="61">
        <v>26074770</v>
      </c>
      <c r="F73" s="138">
        <v>21986270</v>
      </c>
      <c r="G73" s="115">
        <f>20538756.93+89853.33</f>
        <v>20628610.259999998</v>
      </c>
      <c r="H73" s="136">
        <v>22000000</v>
      </c>
      <c r="I73" s="94">
        <f t="shared" si="9"/>
        <v>6.6479986907271194E-2</v>
      </c>
      <c r="J73" s="12"/>
      <c r="K73" s="31"/>
      <c r="R73" s="31"/>
    </row>
    <row r="74" spans="1:18" x14ac:dyDescent="0.25">
      <c r="A74" s="96"/>
      <c r="B74" s="40" t="s">
        <v>127</v>
      </c>
      <c r="C74" s="36">
        <v>23808648.75</v>
      </c>
      <c r="D74" s="115">
        <v>76033770.040000007</v>
      </c>
      <c r="E74" s="35">
        <v>30000000</v>
      </c>
      <c r="F74" s="139">
        <f>30000000+1200000+12000000+2000000+5000000</f>
        <v>50200000</v>
      </c>
      <c r="G74" s="115">
        <v>50193874.979999997</v>
      </c>
      <c r="H74" s="136">
        <v>40000000</v>
      </c>
      <c r="I74" s="94">
        <f t="shared" si="9"/>
        <v>-0.20309001813591399</v>
      </c>
      <c r="J74" s="12"/>
      <c r="K74" s="31"/>
      <c r="R74" s="31"/>
    </row>
    <row r="75" spans="1:18" x14ac:dyDescent="0.25">
      <c r="A75" s="96"/>
      <c r="B75" s="40" t="s">
        <v>128</v>
      </c>
      <c r="C75" s="36">
        <f>2418644.57+50123.87</f>
        <v>2468768.44</v>
      </c>
      <c r="D75" s="115">
        <v>3175521.21</v>
      </c>
      <c r="E75" s="61">
        <v>3700000</v>
      </c>
      <c r="F75" s="138">
        <f>3700000+450000+380100</f>
        <v>4530100</v>
      </c>
      <c r="G75" s="115">
        <v>3298250.97</v>
      </c>
      <c r="H75" s="136">
        <v>3800000</v>
      </c>
      <c r="I75" s="94">
        <f t="shared" si="9"/>
        <v>0.15212578865701043</v>
      </c>
      <c r="J75" s="12"/>
      <c r="K75" s="31"/>
      <c r="R75" s="31"/>
    </row>
    <row r="76" spans="1:18" x14ac:dyDescent="0.25">
      <c r="A76" s="96"/>
      <c r="B76" s="40" t="s">
        <v>935</v>
      </c>
      <c r="C76" s="36"/>
      <c r="D76" s="115"/>
      <c r="E76" s="115">
        <v>2000000</v>
      </c>
      <c r="F76" s="136">
        <f>2000000+690000</f>
        <v>2690000</v>
      </c>
      <c r="G76" s="115">
        <v>2677703.86</v>
      </c>
      <c r="H76" s="136">
        <v>7863000</v>
      </c>
      <c r="I76" s="94">
        <f t="shared" si="9"/>
        <v>1.9364711002806714</v>
      </c>
      <c r="J76" s="12"/>
      <c r="K76" s="31"/>
      <c r="R76" s="31"/>
    </row>
    <row r="77" spans="1:18" x14ac:dyDescent="0.25">
      <c r="A77" s="96"/>
      <c r="B77" s="40" t="s">
        <v>165</v>
      </c>
      <c r="C77" s="34">
        <f t="shared" ref="C77:D77" si="10">SUM(C78:C79)</f>
        <v>38000000</v>
      </c>
      <c r="D77" s="34">
        <f t="shared" si="10"/>
        <v>44000000</v>
      </c>
      <c r="E77" s="34">
        <f t="shared" ref="E77:H77" si="11">SUM(E78:E79)</f>
        <v>45352690</v>
      </c>
      <c r="F77" s="137">
        <f t="shared" si="11"/>
        <v>45352690</v>
      </c>
      <c r="G77" s="34">
        <f t="shared" si="11"/>
        <v>44484844</v>
      </c>
      <c r="H77" s="137">
        <f t="shared" si="11"/>
        <v>38000000</v>
      </c>
      <c r="I77" s="94">
        <f t="shared" si="9"/>
        <v>-0.14577648063686588</v>
      </c>
      <c r="J77" s="12"/>
      <c r="K77" s="31"/>
      <c r="R77" s="31"/>
    </row>
    <row r="78" spans="1:18" x14ac:dyDescent="0.25">
      <c r="A78" s="96"/>
      <c r="B78" s="442" t="s">
        <v>936</v>
      </c>
      <c r="C78" s="65">
        <v>28000000</v>
      </c>
      <c r="D78" s="115">
        <v>32000000</v>
      </c>
      <c r="E78" s="115">
        <v>36500000</v>
      </c>
      <c r="F78" s="136">
        <v>36500000</v>
      </c>
      <c r="G78" s="115">
        <v>35632154</v>
      </c>
      <c r="H78" s="136">
        <v>38000000</v>
      </c>
      <c r="I78" s="94">
        <f t="shared" si="9"/>
        <v>6.6452508035298674E-2</v>
      </c>
      <c r="J78" s="12"/>
      <c r="K78" s="31"/>
      <c r="R78" s="31"/>
    </row>
    <row r="79" spans="1:18" x14ac:dyDescent="0.25">
      <c r="A79" s="96"/>
      <c r="B79" s="41" t="s">
        <v>937</v>
      </c>
      <c r="C79" s="65">
        <v>10000000</v>
      </c>
      <c r="D79" s="115">
        <v>12000000</v>
      </c>
      <c r="E79" s="115">
        <v>8852690</v>
      </c>
      <c r="F79" s="136">
        <v>8852690</v>
      </c>
      <c r="G79" s="115">
        <v>8852690</v>
      </c>
      <c r="H79" s="136">
        <v>0</v>
      </c>
      <c r="I79" s="94">
        <f t="shared" si="9"/>
        <v>-1</v>
      </c>
      <c r="J79" s="12"/>
      <c r="K79" s="31"/>
      <c r="R79" s="31"/>
    </row>
    <row r="80" spans="1:18" x14ac:dyDescent="0.25">
      <c r="A80" s="95" t="s">
        <v>129</v>
      </c>
      <c r="B80" s="441" t="s">
        <v>130</v>
      </c>
      <c r="C80" s="34">
        <f t="shared" ref="C80:H80" si="12">+C81+C89+C90+C91</f>
        <v>117281476.72</v>
      </c>
      <c r="D80" s="34">
        <f t="shared" si="12"/>
        <v>131336077.27</v>
      </c>
      <c r="E80" s="34">
        <f t="shared" si="12"/>
        <v>155416710</v>
      </c>
      <c r="F80" s="137">
        <f t="shared" si="12"/>
        <v>176825710</v>
      </c>
      <c r="G80" s="34">
        <f t="shared" si="12"/>
        <v>173432544.00999999</v>
      </c>
      <c r="H80" s="137">
        <f t="shared" si="12"/>
        <v>204744850</v>
      </c>
      <c r="I80" s="94">
        <f t="shared" si="9"/>
        <v>0.1805445809997146</v>
      </c>
      <c r="J80" s="12"/>
      <c r="K80" s="31"/>
      <c r="R80" s="31"/>
    </row>
    <row r="81" spans="1:18" x14ac:dyDescent="0.25">
      <c r="A81" s="96"/>
      <c r="B81" s="38" t="s">
        <v>131</v>
      </c>
      <c r="C81" s="36">
        <f t="shared" ref="C81:H81" si="13">SUM(C82:C88)</f>
        <v>49899413.119999997</v>
      </c>
      <c r="D81" s="36">
        <f t="shared" si="13"/>
        <v>64272908.039999999</v>
      </c>
      <c r="E81" s="36">
        <f t="shared" si="13"/>
        <v>76579780</v>
      </c>
      <c r="F81" s="139">
        <f t="shared" si="13"/>
        <v>79655780</v>
      </c>
      <c r="G81" s="36">
        <f t="shared" si="13"/>
        <v>79526735.400000006</v>
      </c>
      <c r="H81" s="139">
        <f t="shared" si="13"/>
        <v>85935180</v>
      </c>
      <c r="I81" s="94">
        <f t="shared" si="9"/>
        <v>8.0582266677578174E-2</v>
      </c>
      <c r="J81" s="12"/>
      <c r="K81" s="31"/>
      <c r="R81" s="31"/>
    </row>
    <row r="82" spans="1:18" ht="26.4" x14ac:dyDescent="0.25">
      <c r="A82" s="96"/>
      <c r="B82" s="40" t="s">
        <v>132</v>
      </c>
      <c r="C82" s="36">
        <f>813216+869560+869752+870074+862340+915434+813411+871440+895717+928790+995084+988948</f>
        <v>10693766</v>
      </c>
      <c r="D82" s="36">
        <f>994021+1045637+1040297+1029461+1035913+1040176+1030209+1099377+1122770.04+1061421+1054582+1050382</f>
        <v>12604246.039999999</v>
      </c>
      <c r="E82" s="30">
        <v>14580510</v>
      </c>
      <c r="F82" s="134">
        <v>13988510</v>
      </c>
      <c r="G82" s="36">
        <f>1085945+1172904+1182429+1156430+1157166+1762045+593317+1173102+1160496+1179335+1165488+1160288</f>
        <v>13948945</v>
      </c>
      <c r="H82" s="136">
        <v>14298510</v>
      </c>
      <c r="I82" s="94">
        <f t="shared" si="9"/>
        <v>2.5060318181769237E-2</v>
      </c>
      <c r="J82" s="12"/>
      <c r="K82" s="31"/>
      <c r="M82" s="31"/>
      <c r="R82" s="31"/>
    </row>
    <row r="83" spans="1:18" x14ac:dyDescent="0.25">
      <c r="A83" s="96"/>
      <c r="B83" s="40" t="s">
        <v>133</v>
      </c>
      <c r="C83" s="36">
        <f>(2297506+2922630+3032651+3032130+3093366+3077398+3306696+3235186+3238161+3286628+3589800+3721201)+150000+321508</f>
        <v>38304861</v>
      </c>
      <c r="D83" s="36">
        <f>(3660919+3720116+3799125+3973812+3913139+3940871+4030797+4603288+4596624+4574342+4652336+4784315)+186000+72656+296004</f>
        <v>50804344</v>
      </c>
      <c r="E83" s="30">
        <f>60331710+200000+390000+5000</f>
        <v>60926710</v>
      </c>
      <c r="F83" s="134">
        <f>60331710+200000+390000+5000+1300000+2574000-47000</f>
        <v>64753710</v>
      </c>
      <c r="G83" s="36">
        <f>(4607433+5210011+5131558+5501281+5322775+4838923+6006686+5399692+5503984+5384175+5448959+5827088)+(150500+342156)</f>
        <v>64675221</v>
      </c>
      <c r="H83" s="136">
        <f>(77915000-8213159-912571)+490100+200000+15000</f>
        <v>69494370</v>
      </c>
      <c r="I83" s="94">
        <f t="shared" si="9"/>
        <v>7.4513065830884351E-2</v>
      </c>
      <c r="J83" s="12"/>
      <c r="K83" s="31"/>
      <c r="R83" s="31"/>
    </row>
    <row r="84" spans="1:18" x14ac:dyDescent="0.25">
      <c r="A84" s="96"/>
      <c r="B84" s="40" t="s">
        <v>134</v>
      </c>
      <c r="C84" s="36">
        <f>139357+12960+55033</f>
        <v>207350</v>
      </c>
      <c r="D84" s="115">
        <v>82662</v>
      </c>
      <c r="E84" s="62">
        <f>100560+40000+37000</f>
        <v>177560</v>
      </c>
      <c r="F84" s="134">
        <f>60560+20000+17000</f>
        <v>97560</v>
      </c>
      <c r="G84" s="115">
        <f>59578+18943+16294</f>
        <v>94815</v>
      </c>
      <c r="H84" s="136">
        <f>65000+20000+20000</f>
        <v>105000</v>
      </c>
      <c r="I84" s="94">
        <f t="shared" si="9"/>
        <v>0.10741971207087486</v>
      </c>
      <c r="J84" s="12"/>
    </row>
    <row r="85" spans="1:18" ht="26.4" x14ac:dyDescent="0.25">
      <c r="A85" s="96"/>
      <c r="B85" s="40" t="s">
        <v>940</v>
      </c>
      <c r="C85" s="36"/>
      <c r="D85" s="115"/>
      <c r="E85" s="62"/>
      <c r="F85" s="134"/>
      <c r="G85" s="115"/>
      <c r="H85" s="136">
        <f>286000+542000</f>
        <v>828000</v>
      </c>
      <c r="I85" s="94"/>
      <c r="J85" s="12"/>
    </row>
    <row r="86" spans="1:18" ht="26.4" x14ac:dyDescent="0.25">
      <c r="A86" s="96"/>
      <c r="B86" s="40" t="s">
        <v>941</v>
      </c>
      <c r="C86" s="36">
        <f>573088.12-54970</f>
        <v>518118.12</v>
      </c>
      <c r="D86" s="115">
        <v>522690</v>
      </c>
      <c r="E86" s="61">
        <v>570000</v>
      </c>
      <c r="F86" s="138">
        <f>570000-40000</f>
        <v>530000</v>
      </c>
      <c r="G86" s="115">
        <v>524790.4</v>
      </c>
      <c r="H86" s="136">
        <v>684300</v>
      </c>
      <c r="I86" s="94">
        <f t="shared" si="9"/>
        <v>0.30394915760654162</v>
      </c>
      <c r="J86" s="12"/>
    </row>
    <row r="87" spans="1:18" ht="39.6" x14ac:dyDescent="0.25">
      <c r="A87" s="96"/>
      <c r="B87" s="40" t="s">
        <v>942</v>
      </c>
      <c r="C87" s="36">
        <v>15368</v>
      </c>
      <c r="D87" s="115">
        <v>16395</v>
      </c>
      <c r="E87" s="61">
        <v>25000</v>
      </c>
      <c r="F87" s="138">
        <f>25000-5000</f>
        <v>20000</v>
      </c>
      <c r="G87" s="115">
        <v>17364</v>
      </c>
      <c r="H87" s="136">
        <v>25000</v>
      </c>
      <c r="I87" s="94">
        <f t="shared" si="9"/>
        <v>0.43976042386546887</v>
      </c>
      <c r="J87" s="12"/>
    </row>
    <row r="88" spans="1:18" x14ac:dyDescent="0.25">
      <c r="A88" s="96"/>
      <c r="B88" s="40" t="s">
        <v>943</v>
      </c>
      <c r="C88" s="36">
        <v>159950</v>
      </c>
      <c r="D88" s="115">
        <v>242571</v>
      </c>
      <c r="E88" s="115">
        <v>300000</v>
      </c>
      <c r="F88" s="136">
        <f>300000-34000</f>
        <v>266000</v>
      </c>
      <c r="G88" s="115">
        <v>265600</v>
      </c>
      <c r="H88" s="136">
        <f>300000+200000</f>
        <v>500000</v>
      </c>
      <c r="I88" s="94">
        <f t="shared" si="9"/>
        <v>0.8825301204819278</v>
      </c>
      <c r="J88" s="12"/>
    </row>
    <row r="89" spans="1:18" x14ac:dyDescent="0.25">
      <c r="A89" s="96"/>
      <c r="B89" s="40" t="s">
        <v>180</v>
      </c>
      <c r="C89" s="36">
        <v>34999698.600000001</v>
      </c>
      <c r="D89" s="115">
        <v>32785992.23</v>
      </c>
      <c r="E89" s="115">
        <v>40331930</v>
      </c>
      <c r="F89" s="136">
        <f>(20916500+19415430)+10044000+10000000</f>
        <v>60375930</v>
      </c>
      <c r="G89" s="115">
        <f>(19415430.2-197325.87)+30791423.87+10261791.41</f>
        <v>60271319.609999999</v>
      </c>
      <c r="H89" s="136">
        <f>78704670</f>
        <v>78704670</v>
      </c>
      <c r="I89" s="94">
        <f t="shared" si="9"/>
        <v>0.30583950225874279</v>
      </c>
      <c r="J89" s="12"/>
    </row>
    <row r="90" spans="1:18" x14ac:dyDescent="0.25">
      <c r="A90" s="96"/>
      <c r="B90" s="442" t="s">
        <v>177</v>
      </c>
      <c r="C90" s="36">
        <f>32000000+381500</f>
        <v>32381500</v>
      </c>
      <c r="D90" s="115">
        <v>34276152</v>
      </c>
      <c r="E90" s="115">
        <v>38500000</v>
      </c>
      <c r="F90" s="136">
        <v>36789000</v>
      </c>
      <c r="G90" s="115">
        <v>33633605</v>
      </c>
      <c r="H90" s="136">
        <v>40100000</v>
      </c>
      <c r="I90" s="94">
        <f t="shared" si="9"/>
        <v>0.19225994358915743</v>
      </c>
      <c r="J90" s="12"/>
    </row>
    <row r="91" spans="1:18" x14ac:dyDescent="0.25">
      <c r="A91" s="96"/>
      <c r="B91" s="41" t="s">
        <v>135</v>
      </c>
      <c r="C91" s="65">
        <v>865</v>
      </c>
      <c r="D91" s="115">
        <f>1500-475</f>
        <v>1025</v>
      </c>
      <c r="E91" s="115">
        <v>5000</v>
      </c>
      <c r="F91" s="136">
        <v>5000</v>
      </c>
      <c r="G91" s="115">
        <v>884</v>
      </c>
      <c r="H91" s="136">
        <v>5000</v>
      </c>
      <c r="I91" s="94">
        <f t="shared" si="9"/>
        <v>4.6561085972850682</v>
      </c>
      <c r="J91" s="12"/>
    </row>
    <row r="92" spans="1:18" x14ac:dyDescent="0.25">
      <c r="A92" s="95" t="s">
        <v>136</v>
      </c>
      <c r="B92" s="441" t="s">
        <v>137</v>
      </c>
      <c r="C92" s="34">
        <f t="shared" ref="C92:D92" si="14">SUM(C93:C95)</f>
        <v>48494360.880000003</v>
      </c>
      <c r="D92" s="34">
        <f t="shared" si="14"/>
        <v>112597559.06999999</v>
      </c>
      <c r="E92" s="34">
        <f t="shared" ref="E92:H92" si="15">SUM(E93:E95)</f>
        <v>134753000</v>
      </c>
      <c r="F92" s="137">
        <f t="shared" si="15"/>
        <v>126826630</v>
      </c>
      <c r="G92" s="34">
        <f t="shared" si="15"/>
        <v>126706095.25</v>
      </c>
      <c r="H92" s="137">
        <f t="shared" si="15"/>
        <v>143708660</v>
      </c>
      <c r="I92" s="94">
        <f t="shared" si="9"/>
        <v>0.13418900421840596</v>
      </c>
      <c r="J92" s="12"/>
    </row>
    <row r="93" spans="1:18" x14ac:dyDescent="0.25">
      <c r="A93" s="96"/>
      <c r="B93" s="40" t="s">
        <v>138</v>
      </c>
      <c r="C93" s="65">
        <v>2328000</v>
      </c>
      <c r="D93" s="115">
        <v>2328000</v>
      </c>
      <c r="E93" s="6">
        <v>779000</v>
      </c>
      <c r="F93" s="142">
        <v>779000</v>
      </c>
      <c r="G93" s="115">
        <v>777292.82</v>
      </c>
      <c r="H93" s="136">
        <v>0</v>
      </c>
      <c r="I93" s="94">
        <f t="shared" si="9"/>
        <v>-1</v>
      </c>
      <c r="J93" s="12"/>
    </row>
    <row r="94" spans="1:18" x14ac:dyDescent="0.25">
      <c r="A94" s="96"/>
      <c r="B94" s="40" t="s">
        <v>139</v>
      </c>
      <c r="C94" s="65">
        <f>14068.23+17933518.48</f>
        <v>17947586.710000001</v>
      </c>
      <c r="D94" s="115">
        <f>42102878.89+8248.23</f>
        <v>42111127.119999997</v>
      </c>
      <c r="E94" s="6">
        <v>42161000</v>
      </c>
      <c r="F94" s="142">
        <f>37910500+2500</f>
        <v>37913000</v>
      </c>
      <c r="G94" s="115">
        <f>2428.23+37836109.03</f>
        <v>37838537.259999998</v>
      </c>
      <c r="H94" s="136">
        <v>48385460</v>
      </c>
      <c r="I94" s="94">
        <f t="shared" si="9"/>
        <v>0.27873494864584525</v>
      </c>
      <c r="J94" s="12"/>
    </row>
    <row r="95" spans="1:18" x14ac:dyDescent="0.25">
      <c r="A95" s="96"/>
      <c r="B95" s="40" t="s">
        <v>140</v>
      </c>
      <c r="C95" s="65">
        <v>28218774.170000002</v>
      </c>
      <c r="D95" s="115">
        <f>67670937.29+487494.66</f>
        <v>68158431.950000003</v>
      </c>
      <c r="E95" s="6">
        <v>91813000</v>
      </c>
      <c r="F95" s="142">
        <f>91302000-116370-201000-2850000</f>
        <v>88134630</v>
      </c>
      <c r="G95" s="115">
        <v>88090265.170000002</v>
      </c>
      <c r="H95" s="136">
        <v>95323200</v>
      </c>
      <c r="I95" s="94">
        <f t="shared" si="9"/>
        <v>8.2108219518258974E-2</v>
      </c>
      <c r="J95" s="12"/>
    </row>
    <row r="96" spans="1:18" x14ac:dyDescent="0.25">
      <c r="A96" s="95" t="s">
        <v>141</v>
      </c>
      <c r="B96" s="441" t="s">
        <v>142</v>
      </c>
      <c r="C96" s="84">
        <v>3999494</v>
      </c>
      <c r="D96" s="84">
        <v>7114248</v>
      </c>
      <c r="E96" s="84">
        <v>8000000</v>
      </c>
      <c r="F96" s="144">
        <v>8000000</v>
      </c>
      <c r="G96" s="84">
        <v>6348910</v>
      </c>
      <c r="H96" s="144">
        <v>7000000</v>
      </c>
      <c r="I96" s="94">
        <f t="shared" si="9"/>
        <v>0.10255146158946959</v>
      </c>
      <c r="J96" s="12"/>
    </row>
    <row r="97" spans="1:10" x14ac:dyDescent="0.25">
      <c r="A97" s="95" t="s">
        <v>143</v>
      </c>
      <c r="B97" s="441" t="s">
        <v>144</v>
      </c>
      <c r="C97" s="34">
        <f t="shared" ref="C97:H97" si="16">SUM(C98:C121)</f>
        <v>18092069.949999999</v>
      </c>
      <c r="D97" s="34">
        <f t="shared" si="16"/>
        <v>28707425.550000001</v>
      </c>
      <c r="E97" s="34">
        <f t="shared" si="16"/>
        <v>36716530</v>
      </c>
      <c r="F97" s="137">
        <f t="shared" si="16"/>
        <v>31546130</v>
      </c>
      <c r="G97" s="34">
        <f t="shared" si="16"/>
        <v>30079230.490000002</v>
      </c>
      <c r="H97" s="137">
        <f t="shared" si="16"/>
        <v>-53227040</v>
      </c>
      <c r="I97" s="94">
        <f t="shared" si="9"/>
        <v>-2.7695612265644765</v>
      </c>
      <c r="J97" s="12"/>
    </row>
    <row r="98" spans="1:10" x14ac:dyDescent="0.25">
      <c r="A98" s="96"/>
      <c r="B98" s="38" t="s">
        <v>145</v>
      </c>
      <c r="C98" s="65">
        <v>1621956.27</v>
      </c>
      <c r="D98" s="115">
        <v>1622385.29</v>
      </c>
      <c r="E98" s="115">
        <v>1671900</v>
      </c>
      <c r="F98" s="136">
        <v>1671900</v>
      </c>
      <c r="G98" s="115">
        <v>1616696.57</v>
      </c>
      <c r="H98" s="136">
        <v>1660600</v>
      </c>
      <c r="I98" s="94">
        <f t="shared" si="9"/>
        <v>2.7156258517948118E-2</v>
      </c>
      <c r="J98" s="12"/>
    </row>
    <row r="99" spans="1:10" x14ac:dyDescent="0.25">
      <c r="A99" s="96"/>
      <c r="B99" s="38" t="s">
        <v>208</v>
      </c>
      <c r="C99" s="65"/>
      <c r="D99" s="115"/>
      <c r="E99" s="115"/>
      <c r="F99" s="136">
        <v>10000</v>
      </c>
      <c r="G99" s="115">
        <v>5000</v>
      </c>
      <c r="H99" s="136">
        <v>10000</v>
      </c>
      <c r="I99" s="94">
        <f t="shared" si="9"/>
        <v>1</v>
      </c>
      <c r="J99" s="12"/>
    </row>
    <row r="100" spans="1:10" x14ac:dyDescent="0.25">
      <c r="A100" s="96"/>
      <c r="B100" s="38" t="s">
        <v>146</v>
      </c>
      <c r="C100" s="65">
        <v>218712</v>
      </c>
      <c r="D100" s="115">
        <v>217521</v>
      </c>
      <c r="E100" s="115">
        <v>215590</v>
      </c>
      <c r="F100" s="136">
        <v>215590</v>
      </c>
      <c r="G100" s="115">
        <v>215588</v>
      </c>
      <c r="H100" s="136">
        <v>213550</v>
      </c>
      <c r="I100" s="94">
        <f t="shared" si="9"/>
        <v>-9.4532163200178321E-3</v>
      </c>
      <c r="J100" s="12"/>
    </row>
    <row r="101" spans="1:10" x14ac:dyDescent="0.25">
      <c r="A101" s="96"/>
      <c r="B101" s="38" t="s">
        <v>147</v>
      </c>
      <c r="C101" s="65">
        <v>5200000</v>
      </c>
      <c r="D101" s="115">
        <v>6730000</v>
      </c>
      <c r="E101" s="115">
        <v>7000000</v>
      </c>
      <c r="F101" s="136">
        <v>7000000</v>
      </c>
      <c r="G101" s="115">
        <v>6453033.6100000003</v>
      </c>
      <c r="H101" s="136">
        <v>8700000</v>
      </c>
      <c r="I101" s="94">
        <f t="shared" si="9"/>
        <v>0.34820311279922178</v>
      </c>
      <c r="J101" s="12"/>
    </row>
    <row r="102" spans="1:10" x14ac:dyDescent="0.25">
      <c r="A102" s="96"/>
      <c r="B102" s="38" t="s">
        <v>148</v>
      </c>
      <c r="C102" s="65"/>
      <c r="D102" s="115"/>
      <c r="E102" s="115">
        <v>165000</v>
      </c>
      <c r="F102" s="136">
        <v>0</v>
      </c>
      <c r="G102" s="115">
        <v>0</v>
      </c>
      <c r="H102" s="136"/>
      <c r="I102" s="94"/>
      <c r="J102" s="12"/>
    </row>
    <row r="103" spans="1:10" x14ac:dyDescent="0.25">
      <c r="A103" s="96"/>
      <c r="B103" s="38" t="s">
        <v>149</v>
      </c>
      <c r="C103" s="65">
        <v>437770</v>
      </c>
      <c r="D103" s="115">
        <v>326973.21000000002</v>
      </c>
      <c r="E103" s="115">
        <v>168130</v>
      </c>
      <c r="F103" s="136">
        <f>168130+218590</f>
        <v>386720</v>
      </c>
      <c r="G103" s="115">
        <v>386718</v>
      </c>
      <c r="H103" s="136">
        <v>386720</v>
      </c>
      <c r="I103" s="94">
        <f t="shared" si="9"/>
        <v>5.171727201824794E-6</v>
      </c>
      <c r="J103" s="12"/>
    </row>
    <row r="104" spans="1:10" x14ac:dyDescent="0.25">
      <c r="A104" s="96"/>
      <c r="B104" s="38" t="s">
        <v>168</v>
      </c>
      <c r="C104" s="65">
        <v>327104</v>
      </c>
      <c r="D104" s="115">
        <v>324474</v>
      </c>
      <c r="E104" s="115">
        <v>325000</v>
      </c>
      <c r="F104" s="136">
        <v>325000</v>
      </c>
      <c r="G104" s="115">
        <v>321512</v>
      </c>
      <c r="H104" s="136">
        <v>468360</v>
      </c>
      <c r="I104" s="94">
        <f t="shared" si="9"/>
        <v>0.45674189454825953</v>
      </c>
      <c r="J104" s="12"/>
    </row>
    <row r="105" spans="1:10" x14ac:dyDescent="0.25">
      <c r="A105" s="96"/>
      <c r="B105" s="38" t="s">
        <v>150</v>
      </c>
      <c r="C105" s="65">
        <v>10364520</v>
      </c>
      <c r="D105" s="115">
        <f>14889465+680000</f>
        <v>15569465</v>
      </c>
      <c r="E105" s="115">
        <v>15350000</v>
      </c>
      <c r="F105" s="136">
        <f>15350000+500000-10000</f>
        <v>15840000</v>
      </c>
      <c r="G105" s="115">
        <v>15840000</v>
      </c>
      <c r="H105" s="136">
        <f>14515500+500000</f>
        <v>15015500</v>
      </c>
      <c r="I105" s="94">
        <f t="shared" si="9"/>
        <v>-5.2051767676767668E-2</v>
      </c>
      <c r="J105" s="12"/>
    </row>
    <row r="106" spans="1:10" ht="52.8" x14ac:dyDescent="0.25">
      <c r="A106" s="96"/>
      <c r="B106" s="20" t="s">
        <v>260</v>
      </c>
      <c r="C106" s="65"/>
      <c r="D106" s="115"/>
      <c r="E106" s="115"/>
      <c r="F106" s="136"/>
      <c r="G106" s="115"/>
      <c r="H106" s="136">
        <v>3000000</v>
      </c>
      <c r="I106" s="94"/>
      <c r="J106" s="12"/>
    </row>
    <row r="107" spans="1:10" x14ac:dyDescent="0.25">
      <c r="A107" s="96"/>
      <c r="B107" s="38" t="s">
        <v>934</v>
      </c>
      <c r="C107" s="65">
        <v>164000</v>
      </c>
      <c r="D107" s="115">
        <v>418590</v>
      </c>
      <c r="E107" s="115">
        <v>415000</v>
      </c>
      <c r="F107" s="136">
        <v>415000</v>
      </c>
      <c r="G107" s="115">
        <v>415000</v>
      </c>
      <c r="H107" s="136">
        <v>415000</v>
      </c>
      <c r="I107" s="94">
        <f t="shared" si="9"/>
        <v>0</v>
      </c>
      <c r="J107" s="12"/>
    </row>
    <row r="108" spans="1:10" ht="26.4" x14ac:dyDescent="0.25">
      <c r="A108" s="96"/>
      <c r="B108" s="443" t="s">
        <v>214</v>
      </c>
      <c r="C108" s="65">
        <v>1050000</v>
      </c>
      <c r="D108" s="115">
        <v>4714000</v>
      </c>
      <c r="E108" s="115">
        <v>4714000</v>
      </c>
      <c r="F108" s="136">
        <f>4714000+2000000</f>
        <v>6714000</v>
      </c>
      <c r="G108" s="115">
        <v>6714000</v>
      </c>
      <c r="H108" s="136">
        <v>7000000</v>
      </c>
      <c r="I108" s="94">
        <f t="shared" si="9"/>
        <v>4.2597557342865633E-2</v>
      </c>
      <c r="J108" s="12"/>
    </row>
    <row r="109" spans="1:10" x14ac:dyDescent="0.25">
      <c r="A109" s="96"/>
      <c r="B109" s="38" t="s">
        <v>933</v>
      </c>
      <c r="C109" s="65"/>
      <c r="D109" s="115"/>
      <c r="E109" s="115">
        <v>5000000</v>
      </c>
      <c r="F109" s="136">
        <v>0</v>
      </c>
      <c r="G109" s="115"/>
      <c r="H109" s="136">
        <v>5000000</v>
      </c>
      <c r="I109" s="94"/>
      <c r="J109" s="12"/>
    </row>
    <row r="110" spans="1:10" x14ac:dyDescent="0.25">
      <c r="A110" s="96"/>
      <c r="B110" s="38" t="s">
        <v>151</v>
      </c>
      <c r="C110" s="65">
        <v>32459.119999999999</v>
      </c>
      <c r="D110" s="115">
        <f>26575.79+14351.4</f>
        <v>40927.19</v>
      </c>
      <c r="E110" s="115">
        <v>138000</v>
      </c>
      <c r="F110" s="136">
        <v>138000</v>
      </c>
      <c r="G110" s="115">
        <v>90145</v>
      </c>
      <c r="H110" s="136">
        <v>100000</v>
      </c>
      <c r="I110" s="94">
        <f t="shared" si="9"/>
        <v>0.10932386710300079</v>
      </c>
      <c r="J110" s="12"/>
    </row>
    <row r="111" spans="1:10" x14ac:dyDescent="0.25">
      <c r="A111" s="96"/>
      <c r="B111" s="38" t="s">
        <v>230</v>
      </c>
      <c r="C111" s="65"/>
      <c r="D111" s="115">
        <f>118823.33</f>
        <v>118823.33</v>
      </c>
      <c r="E111" s="115">
        <v>356830</v>
      </c>
      <c r="F111" s="136">
        <v>356830</v>
      </c>
      <c r="G111" s="115">
        <v>237646.66</v>
      </c>
      <c r="H111" s="136">
        <v>237650</v>
      </c>
      <c r="I111" s="94">
        <f t="shared" si="9"/>
        <v>1.4054479031910816E-5</v>
      </c>
      <c r="J111" s="12"/>
    </row>
    <row r="112" spans="1:10" ht="26.4" x14ac:dyDescent="0.25">
      <c r="A112" s="96"/>
      <c r="B112" s="38" t="s">
        <v>231</v>
      </c>
      <c r="C112" s="65"/>
      <c r="D112" s="115"/>
      <c r="E112" s="115"/>
      <c r="F112" s="136">
        <v>290400</v>
      </c>
      <c r="G112" s="115">
        <f>217800+72600</f>
        <v>290400</v>
      </c>
      <c r="H112" s="136">
        <v>290400</v>
      </c>
      <c r="I112" s="94">
        <f t="shared" si="9"/>
        <v>0</v>
      </c>
      <c r="J112" s="12"/>
    </row>
    <row r="113" spans="1:14" x14ac:dyDescent="0.25">
      <c r="A113" s="96"/>
      <c r="B113" s="38" t="s">
        <v>232</v>
      </c>
      <c r="C113" s="65"/>
      <c r="D113" s="115">
        <v>499910</v>
      </c>
      <c r="E113" s="115"/>
      <c r="F113" s="136"/>
      <c r="G113" s="115"/>
      <c r="H113" s="136"/>
      <c r="I113" s="94"/>
      <c r="J113" s="12"/>
    </row>
    <row r="114" spans="1:14" x14ac:dyDescent="0.25">
      <c r="A114" s="96"/>
      <c r="B114" s="38" t="s">
        <v>193</v>
      </c>
      <c r="C114" s="65">
        <v>3812</v>
      </c>
      <c r="D114" s="115">
        <v>2617</v>
      </c>
      <c r="E114" s="115"/>
      <c r="F114" s="136">
        <v>400</v>
      </c>
      <c r="G114" s="115">
        <v>342</v>
      </c>
      <c r="H114" s="136">
        <v>350</v>
      </c>
      <c r="I114" s="94">
        <f t="shared" si="9"/>
        <v>2.3391812865497075E-2</v>
      </c>
      <c r="J114" s="12"/>
    </row>
    <row r="115" spans="1:14" x14ac:dyDescent="0.25">
      <c r="A115" s="96"/>
      <c r="B115" s="38" t="s">
        <v>216</v>
      </c>
      <c r="C115" s="65">
        <v>16308.81</v>
      </c>
      <c r="D115" s="115">
        <v>510285.12</v>
      </c>
      <c r="E115" s="115">
        <v>800000</v>
      </c>
      <c r="F115" s="136">
        <v>800000</v>
      </c>
      <c r="G115" s="115">
        <v>391495.23</v>
      </c>
      <c r="H115" s="136">
        <v>700000</v>
      </c>
      <c r="I115" s="94">
        <f t="shared" si="9"/>
        <v>0.78801667647393825</v>
      </c>
      <c r="J115" s="12"/>
    </row>
    <row r="116" spans="1:14" x14ac:dyDescent="0.25">
      <c r="A116" s="96"/>
      <c r="B116" s="38" t="s">
        <v>233</v>
      </c>
      <c r="C116" s="65"/>
      <c r="D116" s="115">
        <f>4165+8925+24752+13240.61</f>
        <v>51082.61</v>
      </c>
      <c r="E116" s="115">
        <v>904260</v>
      </c>
      <c r="F116" s="136">
        <f>11000+3050+4410+5800+27000+11000+31000+36000-129260</f>
        <v>0</v>
      </c>
      <c r="G116" s="115">
        <v>0</v>
      </c>
      <c r="H116" s="136"/>
      <c r="I116" s="94"/>
      <c r="J116" s="12"/>
    </row>
    <row r="117" spans="1:14" ht="26.4" x14ac:dyDescent="0.25">
      <c r="A117" s="96"/>
      <c r="B117" s="38" t="s">
        <v>164</v>
      </c>
      <c r="C117" s="65">
        <f>304605+4590</f>
        <v>309195</v>
      </c>
      <c r="D117" s="115">
        <f>358646+4193</f>
        <v>362839</v>
      </c>
      <c r="E117" s="6">
        <f>670000+60000</f>
        <v>730000</v>
      </c>
      <c r="F117" s="142">
        <f>598000+11000</f>
        <v>609000</v>
      </c>
      <c r="G117" s="115">
        <f>506908+8458</f>
        <v>515366</v>
      </c>
      <c r="H117" s="136">
        <f>402000+60300</f>
        <v>462300</v>
      </c>
      <c r="I117" s="94">
        <f t="shared" si="9"/>
        <v>-0.10296759972524383</v>
      </c>
      <c r="J117" s="12"/>
    </row>
    <row r="118" spans="1:14" x14ac:dyDescent="0.25">
      <c r="A118" s="96"/>
      <c r="B118" s="38" t="s">
        <v>217</v>
      </c>
      <c r="C118" s="65">
        <f>462000-3000</f>
        <v>459000</v>
      </c>
      <c r="D118" s="115">
        <v>423000</v>
      </c>
      <c r="E118" s="115"/>
      <c r="F118" s="136"/>
      <c r="G118" s="115"/>
      <c r="H118" s="136"/>
      <c r="I118" s="94"/>
      <c r="J118" s="12"/>
    </row>
    <row r="119" spans="1:14" x14ac:dyDescent="0.25">
      <c r="A119" s="96"/>
      <c r="B119" s="38" t="s">
        <v>152</v>
      </c>
      <c r="C119" s="65"/>
      <c r="D119" s="115"/>
      <c r="E119" s="115">
        <v>500000</v>
      </c>
      <c r="F119" s="136">
        <f>500000-450000</f>
        <v>50000</v>
      </c>
      <c r="G119" s="115">
        <v>0</v>
      </c>
      <c r="H119" s="136"/>
      <c r="I119" s="94"/>
      <c r="J119" s="12"/>
    </row>
    <row r="120" spans="1:14" x14ac:dyDescent="0.25">
      <c r="A120" s="96"/>
      <c r="B120" s="38" t="s">
        <v>248</v>
      </c>
      <c r="C120" s="65"/>
      <c r="D120" s="115"/>
      <c r="E120" s="115"/>
      <c r="F120" s="136">
        <v>116000</v>
      </c>
      <c r="G120" s="115">
        <f>85688.64+7500</f>
        <v>93188.64</v>
      </c>
      <c r="H120" s="136">
        <v>111000</v>
      </c>
      <c r="I120" s="94">
        <f t="shared" si="9"/>
        <v>0.19113230968924966</v>
      </c>
      <c r="J120" s="12"/>
    </row>
    <row r="121" spans="1:14" ht="26.4" x14ac:dyDescent="0.25">
      <c r="A121" s="96"/>
      <c r="B121" s="38" t="s">
        <v>153</v>
      </c>
      <c r="C121" s="65">
        <v>-2112767.25</v>
      </c>
      <c r="D121" s="115">
        <f>-939655.82-2285811.38</f>
        <v>-3225467.1999999997</v>
      </c>
      <c r="E121" s="68">
        <v>-1737180</v>
      </c>
      <c r="F121" s="140">
        <f>-1758980-853460-81930-60930-137500-499910</f>
        <v>-3392710</v>
      </c>
      <c r="G121" s="115">
        <f>-2277738.01-1229163.21</f>
        <v>-3506901.2199999997</v>
      </c>
      <c r="H121" s="136">
        <f>-10261791.41-37077.02-31.57-350-32736080-25217370-13750000-4235430-3139290-3365560-188776.5-3365560-4.5+1-701150</f>
        <v>-96998470</v>
      </c>
      <c r="I121" s="94">
        <f t="shared" si="9"/>
        <v>26.659310575049503</v>
      </c>
      <c r="J121" s="12"/>
      <c r="L121" s="31"/>
      <c r="N121" s="31"/>
    </row>
    <row r="122" spans="1:14" ht="13.8" thickBot="1" x14ac:dyDescent="0.3">
      <c r="A122" s="98"/>
      <c r="B122" s="444" t="s">
        <v>154</v>
      </c>
      <c r="C122" s="85">
        <f t="shared" ref="C122:H122" si="17">C8+C28+C49+C55+C60+C70+C80+C92+C96+C97</f>
        <v>500928875.86999995</v>
      </c>
      <c r="D122" s="85">
        <f t="shared" si="17"/>
        <v>716584328.93999982</v>
      </c>
      <c r="E122" s="85">
        <f t="shared" si="17"/>
        <v>772315080</v>
      </c>
      <c r="F122" s="143">
        <f t="shared" si="17"/>
        <v>793969220</v>
      </c>
      <c r="G122" s="85">
        <f t="shared" si="17"/>
        <v>766509731.35000002</v>
      </c>
      <c r="H122" s="143">
        <f t="shared" si="17"/>
        <v>750540470</v>
      </c>
      <c r="I122" s="145">
        <f t="shared" si="9"/>
        <v>-2.0833735955151478E-2</v>
      </c>
      <c r="J122" s="12"/>
      <c r="L122" s="31"/>
    </row>
    <row r="123" spans="1:14" ht="13.8" thickBot="1" x14ac:dyDescent="0.3">
      <c r="A123" s="132"/>
      <c r="B123" s="86" t="s">
        <v>85</v>
      </c>
      <c r="C123" s="133">
        <f t="shared" ref="C123:H123" si="18">C122</f>
        <v>500928875.86999995</v>
      </c>
      <c r="D123" s="133">
        <f t="shared" si="18"/>
        <v>716584328.93999982</v>
      </c>
      <c r="E123" s="133">
        <f t="shared" si="18"/>
        <v>772315080</v>
      </c>
      <c r="F123" s="146">
        <f t="shared" si="18"/>
        <v>793969220</v>
      </c>
      <c r="G123" s="146">
        <f t="shared" si="18"/>
        <v>766509731.35000002</v>
      </c>
      <c r="H123" s="146">
        <f t="shared" si="18"/>
        <v>750540470</v>
      </c>
      <c r="I123" s="130">
        <f t="shared" si="9"/>
        <v>-2.0833735955151478E-2</v>
      </c>
      <c r="J123" s="12"/>
      <c r="K123" s="31"/>
      <c r="L123" s="12"/>
      <c r="M123" s="12"/>
    </row>
    <row r="124" spans="1:14" ht="15.6" x14ac:dyDescent="0.3">
      <c r="A124" s="167"/>
      <c r="B124" s="167"/>
      <c r="C124" s="168"/>
      <c r="D124" s="168"/>
      <c r="E124" s="168"/>
      <c r="F124" s="168"/>
      <c r="G124" s="169"/>
      <c r="H124" s="169"/>
      <c r="I124" s="168"/>
      <c r="J124" s="99"/>
      <c r="K124" s="166"/>
    </row>
    <row r="125" spans="1:14" ht="15.6" x14ac:dyDescent="0.3">
      <c r="A125" s="423" t="s">
        <v>939</v>
      </c>
      <c r="B125" s="428"/>
      <c r="C125" s="429"/>
      <c r="D125" s="429"/>
      <c r="E125" s="429"/>
      <c r="F125" s="429"/>
      <c r="G125" s="430"/>
      <c r="H125" s="431"/>
      <c r="I125" s="432"/>
      <c r="J125" s="31"/>
      <c r="K125" s="166"/>
    </row>
    <row r="126" spans="1:14" ht="16.2" thickBot="1" x14ac:dyDescent="0.35">
      <c r="A126" s="433"/>
      <c r="B126" s="434"/>
      <c r="C126" s="435"/>
      <c r="D126" s="435"/>
      <c r="E126" s="435"/>
      <c r="F126" s="435"/>
      <c r="G126" s="436"/>
      <c r="H126" s="72"/>
      <c r="I126" s="437"/>
      <c r="J126" s="31"/>
      <c r="K126" s="166"/>
    </row>
    <row r="127" spans="1:14" ht="39.6" x14ac:dyDescent="0.25">
      <c r="A127" s="422" t="s">
        <v>96</v>
      </c>
      <c r="B127" s="422" t="s">
        <v>1</v>
      </c>
      <c r="C127" s="422" t="s">
        <v>220</v>
      </c>
      <c r="D127" s="422" t="s">
        <v>223</v>
      </c>
      <c r="E127" s="422" t="s">
        <v>236</v>
      </c>
      <c r="F127" s="422" t="s">
        <v>938</v>
      </c>
      <c r="G127" s="422" t="s">
        <v>258</v>
      </c>
      <c r="H127" s="422" t="s">
        <v>930</v>
      </c>
      <c r="I127" s="422" t="s">
        <v>2</v>
      </c>
      <c r="J127" s="31"/>
      <c r="K127" s="166"/>
    </row>
    <row r="128" spans="1:14" x14ac:dyDescent="0.25">
      <c r="A128" s="43"/>
      <c r="B128" s="71" t="s">
        <v>155</v>
      </c>
      <c r="C128" s="81">
        <v>15353668.42</v>
      </c>
      <c r="D128" s="81">
        <v>18654310.07</v>
      </c>
      <c r="E128" s="64">
        <v>31360250</v>
      </c>
      <c r="F128" s="64">
        <v>31671050</v>
      </c>
      <c r="G128" s="81">
        <v>18301570.120000001</v>
      </c>
      <c r="H128" s="81">
        <v>29195230</v>
      </c>
      <c r="I128" s="97">
        <f t="shared" ref="I128:I131" si="19">H128/G128-1</f>
        <v>0.59523089049585853</v>
      </c>
      <c r="J128" s="31"/>
      <c r="K128" s="166"/>
    </row>
    <row r="129" spans="1:19" x14ac:dyDescent="0.25">
      <c r="A129" s="44"/>
      <c r="B129" s="45" t="s">
        <v>89</v>
      </c>
      <c r="C129" s="68">
        <v>6954094.4900000002</v>
      </c>
      <c r="D129" s="68">
        <v>8257756.3799999999</v>
      </c>
      <c r="E129" s="6">
        <v>8397580</v>
      </c>
      <c r="F129" s="6">
        <f>31517360+771700-20500000-51700+451090</f>
        <v>12188450</v>
      </c>
      <c r="G129" s="68">
        <f>31699087.69-20442026.88</f>
        <v>11257060.810000002</v>
      </c>
      <c r="H129" s="68">
        <v>10892050</v>
      </c>
      <c r="I129" s="97">
        <f t="shared" si="19"/>
        <v>-3.2425054475654247E-2</v>
      </c>
      <c r="J129" s="31"/>
      <c r="K129" s="166"/>
    </row>
    <row r="130" spans="1:19" ht="13.8" thickBot="1" x14ac:dyDescent="0.3">
      <c r="A130" s="60"/>
      <c r="B130" s="29" t="s">
        <v>156</v>
      </c>
      <c r="C130" s="65">
        <v>719974168.89999998</v>
      </c>
      <c r="D130" s="65">
        <v>823509698.97000003</v>
      </c>
      <c r="E130" s="30">
        <v>947758410</v>
      </c>
      <c r="F130" s="65">
        <v>1006410910</v>
      </c>
      <c r="G130" s="65">
        <v>887915041.75</v>
      </c>
      <c r="H130" s="65">
        <f>1090582290</f>
        <v>1090582290</v>
      </c>
      <c r="I130" s="97">
        <f t="shared" si="19"/>
        <v>0.22825072075652786</v>
      </c>
      <c r="J130" s="31"/>
    </row>
    <row r="131" spans="1:19" ht="13.8" thickBot="1" x14ac:dyDescent="0.3">
      <c r="A131" s="87"/>
      <c r="B131" s="102" t="s">
        <v>157</v>
      </c>
      <c r="C131" s="89">
        <f t="shared" ref="C131:H131" si="20">SUM(C128:C130)</f>
        <v>742281931.80999994</v>
      </c>
      <c r="D131" s="89">
        <f t="shared" si="20"/>
        <v>850421765.42000008</v>
      </c>
      <c r="E131" s="89">
        <f t="shared" si="20"/>
        <v>987516240</v>
      </c>
      <c r="F131" s="89">
        <f t="shared" si="20"/>
        <v>1050270410</v>
      </c>
      <c r="G131" s="89">
        <f t="shared" si="20"/>
        <v>917473672.67999995</v>
      </c>
      <c r="H131" s="89">
        <f t="shared" si="20"/>
        <v>1130669570</v>
      </c>
      <c r="I131" s="439">
        <f t="shared" si="19"/>
        <v>0.23237276847110078</v>
      </c>
      <c r="K131" s="31"/>
    </row>
    <row r="132" spans="1:19" x14ac:dyDescent="0.25">
      <c r="A132" s="48"/>
      <c r="B132" s="49"/>
      <c r="G132" s="12"/>
      <c r="H132" s="12"/>
    </row>
    <row r="133" spans="1:19" ht="13.8" thickBot="1" x14ac:dyDescent="0.3">
      <c r="A133" s="42"/>
      <c r="B133" s="25"/>
      <c r="G133" s="12"/>
      <c r="H133" s="12"/>
    </row>
    <row r="134" spans="1:19" ht="31.8" thickBot="1" x14ac:dyDescent="0.3">
      <c r="A134" s="77"/>
      <c r="B134" s="101" t="s">
        <v>158</v>
      </c>
      <c r="C134" s="89">
        <f t="shared" ref="C134:H134" si="21">+C131+C123</f>
        <v>1243210807.6799998</v>
      </c>
      <c r="D134" s="89">
        <f t="shared" si="21"/>
        <v>1567006094.3599999</v>
      </c>
      <c r="E134" s="89">
        <f t="shared" si="21"/>
        <v>1759831320</v>
      </c>
      <c r="F134" s="89">
        <f t="shared" si="21"/>
        <v>1844239630</v>
      </c>
      <c r="G134" s="89">
        <f t="shared" si="21"/>
        <v>1683983404.03</v>
      </c>
      <c r="H134" s="89">
        <f t="shared" si="21"/>
        <v>1881210040</v>
      </c>
      <c r="I134" s="78">
        <f>H134/G134-1</f>
        <v>0.11711910907079615</v>
      </c>
    </row>
    <row r="135" spans="1:19" x14ac:dyDescent="0.25">
      <c r="A135" s="50"/>
      <c r="C135" s="12"/>
      <c r="D135" s="12"/>
      <c r="E135" s="12"/>
      <c r="F135" s="12"/>
      <c r="K135" s="58"/>
      <c r="L135" s="47"/>
      <c r="M135" s="58"/>
    </row>
    <row r="136" spans="1:19" x14ac:dyDescent="0.25">
      <c r="A136" s="50"/>
      <c r="F136" s="12"/>
      <c r="J136" s="42"/>
      <c r="K136" s="58"/>
      <c r="L136" s="47"/>
      <c r="M136" s="58"/>
    </row>
    <row r="137" spans="1:19" x14ac:dyDescent="0.25">
      <c r="A137" s="50"/>
      <c r="C137" s="72"/>
      <c r="D137" s="120"/>
      <c r="E137" s="72"/>
      <c r="F137" s="72"/>
      <c r="G137" s="72"/>
      <c r="H137" s="72"/>
      <c r="J137" s="104"/>
      <c r="K137" s="58"/>
      <c r="L137" s="47"/>
      <c r="M137" s="58"/>
      <c r="N137" s="47"/>
      <c r="O137" s="46"/>
      <c r="P137" s="46"/>
      <c r="Q137" s="46"/>
      <c r="R137" s="46"/>
      <c r="S137" s="46"/>
    </row>
    <row r="138" spans="1:19" x14ac:dyDescent="0.25">
      <c r="A138" s="50"/>
      <c r="B138" s="2"/>
      <c r="G138" s="2"/>
      <c r="H138" s="2"/>
      <c r="K138" s="58"/>
      <c r="L138" s="47"/>
      <c r="M138" s="58"/>
      <c r="N138" s="47"/>
      <c r="P138" s="31"/>
      <c r="R138" s="46"/>
      <c r="S138" s="46"/>
    </row>
    <row r="139" spans="1:19" x14ac:dyDescent="0.25">
      <c r="A139" s="50"/>
      <c r="B139" s="2"/>
      <c r="G139" s="2"/>
      <c r="H139" s="2"/>
      <c r="K139" s="58"/>
      <c r="L139" s="47"/>
      <c r="M139" s="58"/>
      <c r="N139" s="47"/>
      <c r="R139" s="46"/>
      <c r="S139" s="46"/>
    </row>
    <row r="140" spans="1:19" ht="14.4" x14ac:dyDescent="0.3">
      <c r="B140" s="2"/>
      <c r="G140" s="2"/>
      <c r="H140" s="2"/>
      <c r="K140"/>
      <c r="L140" s="51"/>
      <c r="M140" s="51"/>
      <c r="N140" s="51"/>
      <c r="R140"/>
    </row>
    <row r="141" spans="1:19" ht="14.4" x14ac:dyDescent="0.3">
      <c r="B141" s="2"/>
      <c r="G141" s="2"/>
      <c r="H141" s="2"/>
      <c r="K141"/>
      <c r="L141"/>
      <c r="M141"/>
      <c r="N141" s="51"/>
      <c r="R141"/>
    </row>
    <row r="142" spans="1:19" ht="14.4" x14ac:dyDescent="0.3">
      <c r="J142"/>
      <c r="K142"/>
      <c r="L142" s="52"/>
      <c r="M142" s="52"/>
      <c r="N142" s="52"/>
    </row>
    <row r="143" spans="1:19" x14ac:dyDescent="0.25">
      <c r="F143" s="12"/>
    </row>
    <row r="144" spans="1:19" x14ac:dyDescent="0.25">
      <c r="F144" s="12"/>
    </row>
    <row r="145" spans="6:6" x14ac:dyDescent="0.25">
      <c r="F145" s="12"/>
    </row>
    <row r="242" spans="2:2" x14ac:dyDescent="0.25">
      <c r="B242" s="25"/>
    </row>
    <row r="244" spans="2:2" x14ac:dyDescent="0.25">
      <c r="B244" s="25"/>
    </row>
    <row r="290" spans="1:2" x14ac:dyDescent="0.25">
      <c r="A290" s="53"/>
      <c r="B290" s="53"/>
    </row>
    <row r="291" spans="1:2" x14ac:dyDescent="0.25">
      <c r="A291" s="54"/>
      <c r="B291" s="55"/>
    </row>
    <row r="292" spans="1:2" x14ac:dyDescent="0.25">
      <c r="A292" s="54"/>
      <c r="B292" s="55"/>
    </row>
    <row r="293" spans="1:2" x14ac:dyDescent="0.25">
      <c r="A293" s="54"/>
      <c r="B293" s="55"/>
    </row>
    <row r="294" spans="1:2" x14ac:dyDescent="0.25">
      <c r="A294" s="54"/>
      <c r="B294" s="55"/>
    </row>
    <row r="295" spans="1:2" x14ac:dyDescent="0.25">
      <c r="A295" s="54"/>
      <c r="B295" s="55"/>
    </row>
    <row r="296" spans="1:2" x14ac:dyDescent="0.25">
      <c r="A296" s="54"/>
      <c r="B296" s="55"/>
    </row>
    <row r="297" spans="1:2" x14ac:dyDescent="0.25">
      <c r="A297" s="54"/>
      <c r="B297" s="55"/>
    </row>
    <row r="298" spans="1:2" x14ac:dyDescent="0.25">
      <c r="A298" s="54"/>
      <c r="B298" s="56"/>
    </row>
    <row r="299" spans="1:2" x14ac:dyDescent="0.25">
      <c r="A299" s="54"/>
      <c r="B299" s="55"/>
    </row>
    <row r="300" spans="1:2" x14ac:dyDescent="0.25">
      <c r="A300" s="54"/>
      <c r="B300" s="55"/>
    </row>
    <row r="301" spans="1:2" x14ac:dyDescent="0.25">
      <c r="A301" s="54"/>
      <c r="B301" s="55"/>
    </row>
    <row r="302" spans="1:2" x14ac:dyDescent="0.25">
      <c r="A302" s="54"/>
      <c r="B302" s="57"/>
    </row>
  </sheetData>
  <mergeCells count="2">
    <mergeCell ref="A1:B1"/>
    <mergeCell ref="B3:H3"/>
  </mergeCells>
  <pageMargins left="0.23622047244094491" right="0.23622047244094491" top="0.74803149606299213" bottom="0.74803149606299213" header="0.31496062992125984" footer="0.31496062992125984"/>
  <pageSetup paperSize="9" scale="78" fitToHeight="0" orientation="portrait" horizontalDpi="4294967293" verticalDpi="4294967293" r:id="rId1"/>
  <headerFooter>
    <oddFooter>&amp;L&amp;F&amp;C&amp;A&amp;RPagina &amp;P din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74"/>
  <sheetViews>
    <sheetView zoomScaleNormal="100" workbookViewId="0">
      <pane ySplit="1" topLeftCell="A6" activePane="bottomLeft" state="frozen"/>
      <selection pane="bottomLeft" activeCell="C228" activeCellId="4" sqref="C273:C356 C243:C271 C236 C230:C234 C217:C228"/>
    </sheetView>
  </sheetViews>
  <sheetFormatPr defaultRowHeight="13.2" x14ac:dyDescent="0.25"/>
  <cols>
    <col min="1" max="1" width="4.44140625" style="379" customWidth="1"/>
    <col min="2" max="2" width="33.5546875" style="187" customWidth="1"/>
    <col min="3" max="3" width="13" style="380" customWidth="1"/>
    <col min="4" max="4" width="12.88671875" style="380" customWidth="1"/>
    <col min="5" max="6" width="13" style="187" customWidth="1"/>
    <col min="7" max="7" width="9.5546875" style="187" customWidth="1"/>
    <col min="8" max="8" width="11.33203125" style="187" customWidth="1"/>
    <col min="9" max="9" width="9.88671875" style="187" customWidth="1"/>
    <col min="10" max="11" width="10.44140625" style="187" bestFit="1" customWidth="1"/>
    <col min="12" max="12" width="9.6640625" style="187" bestFit="1" customWidth="1"/>
    <col min="13" max="249" width="9.109375" style="187"/>
    <col min="250" max="250" width="4.44140625" style="187" customWidth="1"/>
    <col min="251" max="251" width="43.6640625" style="187" bestFit="1" customWidth="1"/>
    <col min="252" max="252" width="11.88671875" style="187" customWidth="1"/>
    <col min="253" max="253" width="12.5546875" style="187" customWidth="1"/>
    <col min="254" max="254" width="10.88671875" style="187" customWidth="1"/>
    <col min="255" max="255" width="9.88671875" style="187" customWidth="1"/>
    <col min="256" max="256" width="8.88671875" style="187" customWidth="1"/>
    <col min="257" max="257" width="10.88671875" style="187" customWidth="1"/>
    <col min="258" max="258" width="11.5546875" style="187" customWidth="1"/>
    <col min="259" max="259" width="18.6640625" style="187" customWidth="1"/>
    <col min="260" max="505" width="9.109375" style="187"/>
    <col min="506" max="506" width="4.44140625" style="187" customWidth="1"/>
    <col min="507" max="507" width="43.6640625" style="187" bestFit="1" customWidth="1"/>
    <col min="508" max="508" width="11.88671875" style="187" customWidth="1"/>
    <col min="509" max="509" width="12.5546875" style="187" customWidth="1"/>
    <col min="510" max="510" width="10.88671875" style="187" customWidth="1"/>
    <col min="511" max="511" width="9.88671875" style="187" customWidth="1"/>
    <col min="512" max="512" width="8.88671875" style="187" customWidth="1"/>
    <col min="513" max="513" width="10.88671875" style="187" customWidth="1"/>
    <col min="514" max="514" width="11.5546875" style="187" customWidth="1"/>
    <col min="515" max="515" width="18.6640625" style="187" customWidth="1"/>
    <col min="516" max="761" width="9.109375" style="187"/>
    <col min="762" max="762" width="4.44140625" style="187" customWidth="1"/>
    <col min="763" max="763" width="43.6640625" style="187" bestFit="1" customWidth="1"/>
    <col min="764" max="764" width="11.88671875" style="187" customWidth="1"/>
    <col min="765" max="765" width="12.5546875" style="187" customWidth="1"/>
    <col min="766" max="766" width="10.88671875" style="187" customWidth="1"/>
    <col min="767" max="767" width="9.88671875" style="187" customWidth="1"/>
    <col min="768" max="768" width="8.88671875" style="187" customWidth="1"/>
    <col min="769" max="769" width="10.88671875" style="187" customWidth="1"/>
    <col min="770" max="770" width="11.5546875" style="187" customWidth="1"/>
    <col min="771" max="771" width="18.6640625" style="187" customWidth="1"/>
    <col min="772" max="1017" width="9.109375" style="187"/>
    <col min="1018" max="1018" width="4.44140625" style="187" customWidth="1"/>
    <col min="1019" max="1019" width="43.6640625" style="187" bestFit="1" customWidth="1"/>
    <col min="1020" max="1020" width="11.88671875" style="187" customWidth="1"/>
    <col min="1021" max="1021" width="12.5546875" style="187" customWidth="1"/>
    <col min="1022" max="1022" width="10.88671875" style="187" customWidth="1"/>
    <col min="1023" max="1023" width="9.88671875" style="187" customWidth="1"/>
    <col min="1024" max="1024" width="8.88671875" style="187" customWidth="1"/>
    <col min="1025" max="1025" width="10.88671875" style="187" customWidth="1"/>
    <col min="1026" max="1026" width="11.5546875" style="187" customWidth="1"/>
    <col min="1027" max="1027" width="18.6640625" style="187" customWidth="1"/>
    <col min="1028" max="1273" width="9.109375" style="187"/>
    <col min="1274" max="1274" width="4.44140625" style="187" customWidth="1"/>
    <col min="1275" max="1275" width="43.6640625" style="187" bestFit="1" customWidth="1"/>
    <col min="1276" max="1276" width="11.88671875" style="187" customWidth="1"/>
    <col min="1277" max="1277" width="12.5546875" style="187" customWidth="1"/>
    <col min="1278" max="1278" width="10.88671875" style="187" customWidth="1"/>
    <col min="1279" max="1279" width="9.88671875" style="187" customWidth="1"/>
    <col min="1280" max="1280" width="8.88671875" style="187" customWidth="1"/>
    <col min="1281" max="1281" width="10.88671875" style="187" customWidth="1"/>
    <col min="1282" max="1282" width="11.5546875" style="187" customWidth="1"/>
    <col min="1283" max="1283" width="18.6640625" style="187" customWidth="1"/>
    <col min="1284" max="1529" width="9.109375" style="187"/>
    <col min="1530" max="1530" width="4.44140625" style="187" customWidth="1"/>
    <col min="1531" max="1531" width="43.6640625" style="187" bestFit="1" customWidth="1"/>
    <col min="1532" max="1532" width="11.88671875" style="187" customWidth="1"/>
    <col min="1533" max="1533" width="12.5546875" style="187" customWidth="1"/>
    <col min="1534" max="1534" width="10.88671875" style="187" customWidth="1"/>
    <col min="1535" max="1535" width="9.88671875" style="187" customWidth="1"/>
    <col min="1536" max="1536" width="8.88671875" style="187" customWidth="1"/>
    <col min="1537" max="1537" width="10.88671875" style="187" customWidth="1"/>
    <col min="1538" max="1538" width="11.5546875" style="187" customWidth="1"/>
    <col min="1539" max="1539" width="18.6640625" style="187" customWidth="1"/>
    <col min="1540" max="1785" width="9.109375" style="187"/>
    <col min="1786" max="1786" width="4.44140625" style="187" customWidth="1"/>
    <col min="1787" max="1787" width="43.6640625" style="187" bestFit="1" customWidth="1"/>
    <col min="1788" max="1788" width="11.88671875" style="187" customWidth="1"/>
    <col min="1789" max="1789" width="12.5546875" style="187" customWidth="1"/>
    <col min="1790" max="1790" width="10.88671875" style="187" customWidth="1"/>
    <col min="1791" max="1791" width="9.88671875" style="187" customWidth="1"/>
    <col min="1792" max="1792" width="8.88671875" style="187" customWidth="1"/>
    <col min="1793" max="1793" width="10.88671875" style="187" customWidth="1"/>
    <col min="1794" max="1794" width="11.5546875" style="187" customWidth="1"/>
    <col min="1795" max="1795" width="18.6640625" style="187" customWidth="1"/>
    <col min="1796" max="2041" width="9.109375" style="187"/>
    <col min="2042" max="2042" width="4.44140625" style="187" customWidth="1"/>
    <col min="2043" max="2043" width="43.6640625" style="187" bestFit="1" customWidth="1"/>
    <col min="2044" max="2044" width="11.88671875" style="187" customWidth="1"/>
    <col min="2045" max="2045" width="12.5546875" style="187" customWidth="1"/>
    <col min="2046" max="2046" width="10.88671875" style="187" customWidth="1"/>
    <col min="2047" max="2047" width="9.88671875" style="187" customWidth="1"/>
    <col min="2048" max="2048" width="8.88671875" style="187" customWidth="1"/>
    <col min="2049" max="2049" width="10.88671875" style="187" customWidth="1"/>
    <col min="2050" max="2050" width="11.5546875" style="187" customWidth="1"/>
    <col min="2051" max="2051" width="18.6640625" style="187" customWidth="1"/>
    <col min="2052" max="2297" width="9.109375" style="187"/>
    <col min="2298" max="2298" width="4.44140625" style="187" customWidth="1"/>
    <col min="2299" max="2299" width="43.6640625" style="187" bestFit="1" customWidth="1"/>
    <col min="2300" max="2300" width="11.88671875" style="187" customWidth="1"/>
    <col min="2301" max="2301" width="12.5546875" style="187" customWidth="1"/>
    <col min="2302" max="2302" width="10.88671875" style="187" customWidth="1"/>
    <col min="2303" max="2303" width="9.88671875" style="187" customWidth="1"/>
    <col min="2304" max="2304" width="8.88671875" style="187" customWidth="1"/>
    <col min="2305" max="2305" width="10.88671875" style="187" customWidth="1"/>
    <col min="2306" max="2306" width="11.5546875" style="187" customWidth="1"/>
    <col min="2307" max="2307" width="18.6640625" style="187" customWidth="1"/>
    <col min="2308" max="2553" width="9.109375" style="187"/>
    <col min="2554" max="2554" width="4.44140625" style="187" customWidth="1"/>
    <col min="2555" max="2555" width="43.6640625" style="187" bestFit="1" customWidth="1"/>
    <col min="2556" max="2556" width="11.88671875" style="187" customWidth="1"/>
    <col min="2557" max="2557" width="12.5546875" style="187" customWidth="1"/>
    <col min="2558" max="2558" width="10.88671875" style="187" customWidth="1"/>
    <col min="2559" max="2559" width="9.88671875" style="187" customWidth="1"/>
    <col min="2560" max="2560" width="8.88671875" style="187" customWidth="1"/>
    <col min="2561" max="2561" width="10.88671875" style="187" customWidth="1"/>
    <col min="2562" max="2562" width="11.5546875" style="187" customWidth="1"/>
    <col min="2563" max="2563" width="18.6640625" style="187" customWidth="1"/>
    <col min="2564" max="2809" width="9.109375" style="187"/>
    <col min="2810" max="2810" width="4.44140625" style="187" customWidth="1"/>
    <col min="2811" max="2811" width="43.6640625" style="187" bestFit="1" customWidth="1"/>
    <col min="2812" max="2812" width="11.88671875" style="187" customWidth="1"/>
    <col min="2813" max="2813" width="12.5546875" style="187" customWidth="1"/>
    <col min="2814" max="2814" width="10.88671875" style="187" customWidth="1"/>
    <col min="2815" max="2815" width="9.88671875" style="187" customWidth="1"/>
    <col min="2816" max="2816" width="8.88671875" style="187" customWidth="1"/>
    <col min="2817" max="2817" width="10.88671875" style="187" customWidth="1"/>
    <col min="2818" max="2818" width="11.5546875" style="187" customWidth="1"/>
    <col min="2819" max="2819" width="18.6640625" style="187" customWidth="1"/>
    <col min="2820" max="3065" width="9.109375" style="187"/>
    <col min="3066" max="3066" width="4.44140625" style="187" customWidth="1"/>
    <col min="3067" max="3067" width="43.6640625" style="187" bestFit="1" customWidth="1"/>
    <col min="3068" max="3068" width="11.88671875" style="187" customWidth="1"/>
    <col min="3069" max="3069" width="12.5546875" style="187" customWidth="1"/>
    <col min="3070" max="3070" width="10.88671875" style="187" customWidth="1"/>
    <col min="3071" max="3071" width="9.88671875" style="187" customWidth="1"/>
    <col min="3072" max="3072" width="8.88671875" style="187" customWidth="1"/>
    <col min="3073" max="3073" width="10.88671875" style="187" customWidth="1"/>
    <col min="3074" max="3074" width="11.5546875" style="187" customWidth="1"/>
    <col min="3075" max="3075" width="18.6640625" style="187" customWidth="1"/>
    <col min="3076" max="3321" width="9.109375" style="187"/>
    <col min="3322" max="3322" width="4.44140625" style="187" customWidth="1"/>
    <col min="3323" max="3323" width="43.6640625" style="187" bestFit="1" customWidth="1"/>
    <col min="3324" max="3324" width="11.88671875" style="187" customWidth="1"/>
    <col min="3325" max="3325" width="12.5546875" style="187" customWidth="1"/>
    <col min="3326" max="3326" width="10.88671875" style="187" customWidth="1"/>
    <col min="3327" max="3327" width="9.88671875" style="187" customWidth="1"/>
    <col min="3328" max="3328" width="8.88671875" style="187" customWidth="1"/>
    <col min="3329" max="3329" width="10.88671875" style="187" customWidth="1"/>
    <col min="3330" max="3330" width="11.5546875" style="187" customWidth="1"/>
    <col min="3331" max="3331" width="18.6640625" style="187" customWidth="1"/>
    <col min="3332" max="3577" width="9.109375" style="187"/>
    <col min="3578" max="3578" width="4.44140625" style="187" customWidth="1"/>
    <col min="3579" max="3579" width="43.6640625" style="187" bestFit="1" customWidth="1"/>
    <col min="3580" max="3580" width="11.88671875" style="187" customWidth="1"/>
    <col min="3581" max="3581" width="12.5546875" style="187" customWidth="1"/>
    <col min="3582" max="3582" width="10.88671875" style="187" customWidth="1"/>
    <col min="3583" max="3583" width="9.88671875" style="187" customWidth="1"/>
    <col min="3584" max="3584" width="8.88671875" style="187" customWidth="1"/>
    <col min="3585" max="3585" width="10.88671875" style="187" customWidth="1"/>
    <col min="3586" max="3586" width="11.5546875" style="187" customWidth="1"/>
    <col min="3587" max="3587" width="18.6640625" style="187" customWidth="1"/>
    <col min="3588" max="3833" width="9.109375" style="187"/>
    <col min="3834" max="3834" width="4.44140625" style="187" customWidth="1"/>
    <col min="3835" max="3835" width="43.6640625" style="187" bestFit="1" customWidth="1"/>
    <col min="3836" max="3836" width="11.88671875" style="187" customWidth="1"/>
    <col min="3837" max="3837" width="12.5546875" style="187" customWidth="1"/>
    <col min="3838" max="3838" width="10.88671875" style="187" customWidth="1"/>
    <col min="3839" max="3839" width="9.88671875" style="187" customWidth="1"/>
    <col min="3840" max="3840" width="8.88671875" style="187" customWidth="1"/>
    <col min="3841" max="3841" width="10.88671875" style="187" customWidth="1"/>
    <col min="3842" max="3842" width="11.5546875" style="187" customWidth="1"/>
    <col min="3843" max="3843" width="18.6640625" style="187" customWidth="1"/>
    <col min="3844" max="4089" width="9.109375" style="187"/>
    <col min="4090" max="4090" width="4.44140625" style="187" customWidth="1"/>
    <col min="4091" max="4091" width="43.6640625" style="187" bestFit="1" customWidth="1"/>
    <col min="4092" max="4092" width="11.88671875" style="187" customWidth="1"/>
    <col min="4093" max="4093" width="12.5546875" style="187" customWidth="1"/>
    <col min="4094" max="4094" width="10.88671875" style="187" customWidth="1"/>
    <col min="4095" max="4095" width="9.88671875" style="187" customWidth="1"/>
    <col min="4096" max="4096" width="8.88671875" style="187" customWidth="1"/>
    <col min="4097" max="4097" width="10.88671875" style="187" customWidth="1"/>
    <col min="4098" max="4098" width="11.5546875" style="187" customWidth="1"/>
    <col min="4099" max="4099" width="18.6640625" style="187" customWidth="1"/>
    <col min="4100" max="4345" width="9.109375" style="187"/>
    <col min="4346" max="4346" width="4.44140625" style="187" customWidth="1"/>
    <col min="4347" max="4347" width="43.6640625" style="187" bestFit="1" customWidth="1"/>
    <col min="4348" max="4348" width="11.88671875" style="187" customWidth="1"/>
    <col min="4349" max="4349" width="12.5546875" style="187" customWidth="1"/>
    <col min="4350" max="4350" width="10.88671875" style="187" customWidth="1"/>
    <col min="4351" max="4351" width="9.88671875" style="187" customWidth="1"/>
    <col min="4352" max="4352" width="8.88671875" style="187" customWidth="1"/>
    <col min="4353" max="4353" width="10.88671875" style="187" customWidth="1"/>
    <col min="4354" max="4354" width="11.5546875" style="187" customWidth="1"/>
    <col min="4355" max="4355" width="18.6640625" style="187" customWidth="1"/>
    <col min="4356" max="4601" width="9.109375" style="187"/>
    <col min="4602" max="4602" width="4.44140625" style="187" customWidth="1"/>
    <col min="4603" max="4603" width="43.6640625" style="187" bestFit="1" customWidth="1"/>
    <col min="4604" max="4604" width="11.88671875" style="187" customWidth="1"/>
    <col min="4605" max="4605" width="12.5546875" style="187" customWidth="1"/>
    <col min="4606" max="4606" width="10.88671875" style="187" customWidth="1"/>
    <col min="4607" max="4607" width="9.88671875" style="187" customWidth="1"/>
    <col min="4608" max="4608" width="8.88671875" style="187" customWidth="1"/>
    <col min="4609" max="4609" width="10.88671875" style="187" customWidth="1"/>
    <col min="4610" max="4610" width="11.5546875" style="187" customWidth="1"/>
    <col min="4611" max="4611" width="18.6640625" style="187" customWidth="1"/>
    <col min="4612" max="4857" width="9.109375" style="187"/>
    <col min="4858" max="4858" width="4.44140625" style="187" customWidth="1"/>
    <col min="4859" max="4859" width="43.6640625" style="187" bestFit="1" customWidth="1"/>
    <col min="4860" max="4860" width="11.88671875" style="187" customWidth="1"/>
    <col min="4861" max="4861" width="12.5546875" style="187" customWidth="1"/>
    <col min="4862" max="4862" width="10.88671875" style="187" customWidth="1"/>
    <col min="4863" max="4863" width="9.88671875" style="187" customWidth="1"/>
    <col min="4864" max="4864" width="8.88671875" style="187" customWidth="1"/>
    <col min="4865" max="4865" width="10.88671875" style="187" customWidth="1"/>
    <col min="4866" max="4866" width="11.5546875" style="187" customWidth="1"/>
    <col min="4867" max="4867" width="18.6640625" style="187" customWidth="1"/>
    <col min="4868" max="5113" width="9.109375" style="187"/>
    <col min="5114" max="5114" width="4.44140625" style="187" customWidth="1"/>
    <col min="5115" max="5115" width="43.6640625" style="187" bestFit="1" customWidth="1"/>
    <col min="5116" max="5116" width="11.88671875" style="187" customWidth="1"/>
    <col min="5117" max="5117" width="12.5546875" style="187" customWidth="1"/>
    <col min="5118" max="5118" width="10.88671875" style="187" customWidth="1"/>
    <col min="5119" max="5119" width="9.88671875" style="187" customWidth="1"/>
    <col min="5120" max="5120" width="8.88671875" style="187" customWidth="1"/>
    <col min="5121" max="5121" width="10.88671875" style="187" customWidth="1"/>
    <col min="5122" max="5122" width="11.5546875" style="187" customWidth="1"/>
    <col min="5123" max="5123" width="18.6640625" style="187" customWidth="1"/>
    <col min="5124" max="5369" width="9.109375" style="187"/>
    <col min="5370" max="5370" width="4.44140625" style="187" customWidth="1"/>
    <col min="5371" max="5371" width="43.6640625" style="187" bestFit="1" customWidth="1"/>
    <col min="5372" max="5372" width="11.88671875" style="187" customWidth="1"/>
    <col min="5373" max="5373" width="12.5546875" style="187" customWidth="1"/>
    <col min="5374" max="5374" width="10.88671875" style="187" customWidth="1"/>
    <col min="5375" max="5375" width="9.88671875" style="187" customWidth="1"/>
    <col min="5376" max="5376" width="8.88671875" style="187" customWidth="1"/>
    <col min="5377" max="5377" width="10.88671875" style="187" customWidth="1"/>
    <col min="5378" max="5378" width="11.5546875" style="187" customWidth="1"/>
    <col min="5379" max="5379" width="18.6640625" style="187" customWidth="1"/>
    <col min="5380" max="5625" width="9.109375" style="187"/>
    <col min="5626" max="5626" width="4.44140625" style="187" customWidth="1"/>
    <col min="5627" max="5627" width="43.6640625" style="187" bestFit="1" customWidth="1"/>
    <col min="5628" max="5628" width="11.88671875" style="187" customWidth="1"/>
    <col min="5629" max="5629" width="12.5546875" style="187" customWidth="1"/>
    <col min="5630" max="5630" width="10.88671875" style="187" customWidth="1"/>
    <col min="5631" max="5631" width="9.88671875" style="187" customWidth="1"/>
    <col min="5632" max="5632" width="8.88671875" style="187" customWidth="1"/>
    <col min="5633" max="5633" width="10.88671875" style="187" customWidth="1"/>
    <col min="5634" max="5634" width="11.5546875" style="187" customWidth="1"/>
    <col min="5635" max="5635" width="18.6640625" style="187" customWidth="1"/>
    <col min="5636" max="5881" width="9.109375" style="187"/>
    <col min="5882" max="5882" width="4.44140625" style="187" customWidth="1"/>
    <col min="5883" max="5883" width="43.6640625" style="187" bestFit="1" customWidth="1"/>
    <col min="5884" max="5884" width="11.88671875" style="187" customWidth="1"/>
    <col min="5885" max="5885" width="12.5546875" style="187" customWidth="1"/>
    <col min="5886" max="5886" width="10.88671875" style="187" customWidth="1"/>
    <col min="5887" max="5887" width="9.88671875" style="187" customWidth="1"/>
    <col min="5888" max="5888" width="8.88671875" style="187" customWidth="1"/>
    <col min="5889" max="5889" width="10.88671875" style="187" customWidth="1"/>
    <col min="5890" max="5890" width="11.5546875" style="187" customWidth="1"/>
    <col min="5891" max="5891" width="18.6640625" style="187" customWidth="1"/>
    <col min="5892" max="6137" width="9.109375" style="187"/>
    <col min="6138" max="6138" width="4.44140625" style="187" customWidth="1"/>
    <col min="6139" max="6139" width="43.6640625" style="187" bestFit="1" customWidth="1"/>
    <col min="6140" max="6140" width="11.88671875" style="187" customWidth="1"/>
    <col min="6141" max="6141" width="12.5546875" style="187" customWidth="1"/>
    <col min="6142" max="6142" width="10.88671875" style="187" customWidth="1"/>
    <col min="6143" max="6143" width="9.88671875" style="187" customWidth="1"/>
    <col min="6144" max="6144" width="8.88671875" style="187" customWidth="1"/>
    <col min="6145" max="6145" width="10.88671875" style="187" customWidth="1"/>
    <col min="6146" max="6146" width="11.5546875" style="187" customWidth="1"/>
    <col min="6147" max="6147" width="18.6640625" style="187" customWidth="1"/>
    <col min="6148" max="6393" width="9.109375" style="187"/>
    <col min="6394" max="6394" width="4.44140625" style="187" customWidth="1"/>
    <col min="6395" max="6395" width="43.6640625" style="187" bestFit="1" customWidth="1"/>
    <col min="6396" max="6396" width="11.88671875" style="187" customWidth="1"/>
    <col min="6397" max="6397" width="12.5546875" style="187" customWidth="1"/>
    <col min="6398" max="6398" width="10.88671875" style="187" customWidth="1"/>
    <col min="6399" max="6399" width="9.88671875" style="187" customWidth="1"/>
    <col min="6400" max="6400" width="8.88671875" style="187" customWidth="1"/>
    <col min="6401" max="6401" width="10.88671875" style="187" customWidth="1"/>
    <col min="6402" max="6402" width="11.5546875" style="187" customWidth="1"/>
    <col min="6403" max="6403" width="18.6640625" style="187" customWidth="1"/>
    <col min="6404" max="6649" width="9.109375" style="187"/>
    <col min="6650" max="6650" width="4.44140625" style="187" customWidth="1"/>
    <col min="6651" max="6651" width="43.6640625" style="187" bestFit="1" customWidth="1"/>
    <col min="6652" max="6652" width="11.88671875" style="187" customWidth="1"/>
    <col min="6653" max="6653" width="12.5546875" style="187" customWidth="1"/>
    <col min="6654" max="6654" width="10.88671875" style="187" customWidth="1"/>
    <col min="6655" max="6655" width="9.88671875" style="187" customWidth="1"/>
    <col min="6656" max="6656" width="8.88671875" style="187" customWidth="1"/>
    <col min="6657" max="6657" width="10.88671875" style="187" customWidth="1"/>
    <col min="6658" max="6658" width="11.5546875" style="187" customWidth="1"/>
    <col min="6659" max="6659" width="18.6640625" style="187" customWidth="1"/>
    <col min="6660" max="6905" width="9.109375" style="187"/>
    <col min="6906" max="6906" width="4.44140625" style="187" customWidth="1"/>
    <col min="6907" max="6907" width="43.6640625" style="187" bestFit="1" customWidth="1"/>
    <col min="6908" max="6908" width="11.88671875" style="187" customWidth="1"/>
    <col min="6909" max="6909" width="12.5546875" style="187" customWidth="1"/>
    <col min="6910" max="6910" width="10.88671875" style="187" customWidth="1"/>
    <col min="6911" max="6911" width="9.88671875" style="187" customWidth="1"/>
    <col min="6912" max="6912" width="8.88671875" style="187" customWidth="1"/>
    <col min="6913" max="6913" width="10.88671875" style="187" customWidth="1"/>
    <col min="6914" max="6914" width="11.5546875" style="187" customWidth="1"/>
    <col min="6915" max="6915" width="18.6640625" style="187" customWidth="1"/>
    <col min="6916" max="7161" width="9.109375" style="187"/>
    <col min="7162" max="7162" width="4.44140625" style="187" customWidth="1"/>
    <col min="7163" max="7163" width="43.6640625" style="187" bestFit="1" customWidth="1"/>
    <col min="7164" max="7164" width="11.88671875" style="187" customWidth="1"/>
    <col min="7165" max="7165" width="12.5546875" style="187" customWidth="1"/>
    <col min="7166" max="7166" width="10.88671875" style="187" customWidth="1"/>
    <col min="7167" max="7167" width="9.88671875" style="187" customWidth="1"/>
    <col min="7168" max="7168" width="8.88671875" style="187" customWidth="1"/>
    <col min="7169" max="7169" width="10.88671875" style="187" customWidth="1"/>
    <col min="7170" max="7170" width="11.5546875" style="187" customWidth="1"/>
    <col min="7171" max="7171" width="18.6640625" style="187" customWidth="1"/>
    <col min="7172" max="7417" width="9.109375" style="187"/>
    <col min="7418" max="7418" width="4.44140625" style="187" customWidth="1"/>
    <col min="7419" max="7419" width="43.6640625" style="187" bestFit="1" customWidth="1"/>
    <col min="7420" max="7420" width="11.88671875" style="187" customWidth="1"/>
    <col min="7421" max="7421" width="12.5546875" style="187" customWidth="1"/>
    <col min="7422" max="7422" width="10.88671875" style="187" customWidth="1"/>
    <col min="7423" max="7423" width="9.88671875" style="187" customWidth="1"/>
    <col min="7424" max="7424" width="8.88671875" style="187" customWidth="1"/>
    <col min="7425" max="7425" width="10.88671875" style="187" customWidth="1"/>
    <col min="7426" max="7426" width="11.5546875" style="187" customWidth="1"/>
    <col min="7427" max="7427" width="18.6640625" style="187" customWidth="1"/>
    <col min="7428" max="7673" width="9.109375" style="187"/>
    <col min="7674" max="7674" width="4.44140625" style="187" customWidth="1"/>
    <col min="7675" max="7675" width="43.6640625" style="187" bestFit="1" customWidth="1"/>
    <col min="7676" max="7676" width="11.88671875" style="187" customWidth="1"/>
    <col min="7677" max="7677" width="12.5546875" style="187" customWidth="1"/>
    <col min="7678" max="7678" width="10.88671875" style="187" customWidth="1"/>
    <col min="7679" max="7679" width="9.88671875" style="187" customWidth="1"/>
    <col min="7680" max="7680" width="8.88671875" style="187" customWidth="1"/>
    <col min="7681" max="7681" width="10.88671875" style="187" customWidth="1"/>
    <col min="7682" max="7682" width="11.5546875" style="187" customWidth="1"/>
    <col min="7683" max="7683" width="18.6640625" style="187" customWidth="1"/>
    <col min="7684" max="7929" width="9.109375" style="187"/>
    <col min="7930" max="7930" width="4.44140625" style="187" customWidth="1"/>
    <col min="7931" max="7931" width="43.6640625" style="187" bestFit="1" customWidth="1"/>
    <col min="7932" max="7932" width="11.88671875" style="187" customWidth="1"/>
    <col min="7933" max="7933" width="12.5546875" style="187" customWidth="1"/>
    <col min="7934" max="7934" width="10.88671875" style="187" customWidth="1"/>
    <col min="7935" max="7935" width="9.88671875" style="187" customWidth="1"/>
    <col min="7936" max="7936" width="8.88671875" style="187" customWidth="1"/>
    <col min="7937" max="7937" width="10.88671875" style="187" customWidth="1"/>
    <col min="7938" max="7938" width="11.5546875" style="187" customWidth="1"/>
    <col min="7939" max="7939" width="18.6640625" style="187" customWidth="1"/>
    <col min="7940" max="8185" width="9.109375" style="187"/>
    <col min="8186" max="8186" width="4.44140625" style="187" customWidth="1"/>
    <col min="8187" max="8187" width="43.6640625" style="187" bestFit="1" customWidth="1"/>
    <col min="8188" max="8188" width="11.88671875" style="187" customWidth="1"/>
    <col min="8189" max="8189" width="12.5546875" style="187" customWidth="1"/>
    <col min="8190" max="8190" width="10.88671875" style="187" customWidth="1"/>
    <col min="8191" max="8191" width="9.88671875" style="187" customWidth="1"/>
    <col min="8192" max="8192" width="8.88671875" style="187" customWidth="1"/>
    <col min="8193" max="8193" width="10.88671875" style="187" customWidth="1"/>
    <col min="8194" max="8194" width="11.5546875" style="187" customWidth="1"/>
    <col min="8195" max="8195" width="18.6640625" style="187" customWidth="1"/>
    <col min="8196" max="8441" width="9.109375" style="187"/>
    <col min="8442" max="8442" width="4.44140625" style="187" customWidth="1"/>
    <col min="8443" max="8443" width="43.6640625" style="187" bestFit="1" customWidth="1"/>
    <col min="8444" max="8444" width="11.88671875" style="187" customWidth="1"/>
    <col min="8445" max="8445" width="12.5546875" style="187" customWidth="1"/>
    <col min="8446" max="8446" width="10.88671875" style="187" customWidth="1"/>
    <col min="8447" max="8447" width="9.88671875" style="187" customWidth="1"/>
    <col min="8448" max="8448" width="8.88671875" style="187" customWidth="1"/>
    <col min="8449" max="8449" width="10.88671875" style="187" customWidth="1"/>
    <col min="8450" max="8450" width="11.5546875" style="187" customWidth="1"/>
    <col min="8451" max="8451" width="18.6640625" style="187" customWidth="1"/>
    <col min="8452" max="8697" width="9.109375" style="187"/>
    <col min="8698" max="8698" width="4.44140625" style="187" customWidth="1"/>
    <col min="8699" max="8699" width="43.6640625" style="187" bestFit="1" customWidth="1"/>
    <col min="8700" max="8700" width="11.88671875" style="187" customWidth="1"/>
    <col min="8701" max="8701" width="12.5546875" style="187" customWidth="1"/>
    <col min="8702" max="8702" width="10.88671875" style="187" customWidth="1"/>
    <col min="8703" max="8703" width="9.88671875" style="187" customWidth="1"/>
    <col min="8704" max="8704" width="8.88671875" style="187" customWidth="1"/>
    <col min="8705" max="8705" width="10.88671875" style="187" customWidth="1"/>
    <col min="8706" max="8706" width="11.5546875" style="187" customWidth="1"/>
    <col min="8707" max="8707" width="18.6640625" style="187" customWidth="1"/>
    <col min="8708" max="8953" width="9.109375" style="187"/>
    <col min="8954" max="8954" width="4.44140625" style="187" customWidth="1"/>
    <col min="8955" max="8955" width="43.6640625" style="187" bestFit="1" customWidth="1"/>
    <col min="8956" max="8956" width="11.88671875" style="187" customWidth="1"/>
    <col min="8957" max="8957" width="12.5546875" style="187" customWidth="1"/>
    <col min="8958" max="8958" width="10.88671875" style="187" customWidth="1"/>
    <col min="8959" max="8959" width="9.88671875" style="187" customWidth="1"/>
    <col min="8960" max="8960" width="8.88671875" style="187" customWidth="1"/>
    <col min="8961" max="8961" width="10.88671875" style="187" customWidth="1"/>
    <col min="8962" max="8962" width="11.5546875" style="187" customWidth="1"/>
    <col min="8963" max="8963" width="18.6640625" style="187" customWidth="1"/>
    <col min="8964" max="9209" width="9.109375" style="187"/>
    <col min="9210" max="9210" width="4.44140625" style="187" customWidth="1"/>
    <col min="9211" max="9211" width="43.6640625" style="187" bestFit="1" customWidth="1"/>
    <col min="9212" max="9212" width="11.88671875" style="187" customWidth="1"/>
    <col min="9213" max="9213" width="12.5546875" style="187" customWidth="1"/>
    <col min="9214" max="9214" width="10.88671875" style="187" customWidth="1"/>
    <col min="9215" max="9215" width="9.88671875" style="187" customWidth="1"/>
    <col min="9216" max="9216" width="8.88671875" style="187" customWidth="1"/>
    <col min="9217" max="9217" width="10.88671875" style="187" customWidth="1"/>
    <col min="9218" max="9218" width="11.5546875" style="187" customWidth="1"/>
    <col min="9219" max="9219" width="18.6640625" style="187" customWidth="1"/>
    <col min="9220" max="9465" width="9.109375" style="187"/>
    <col min="9466" max="9466" width="4.44140625" style="187" customWidth="1"/>
    <col min="9467" max="9467" width="43.6640625" style="187" bestFit="1" customWidth="1"/>
    <col min="9468" max="9468" width="11.88671875" style="187" customWidth="1"/>
    <col min="9469" max="9469" width="12.5546875" style="187" customWidth="1"/>
    <col min="9470" max="9470" width="10.88671875" style="187" customWidth="1"/>
    <col min="9471" max="9471" width="9.88671875" style="187" customWidth="1"/>
    <col min="9472" max="9472" width="8.88671875" style="187" customWidth="1"/>
    <col min="9473" max="9473" width="10.88671875" style="187" customWidth="1"/>
    <col min="9474" max="9474" width="11.5546875" style="187" customWidth="1"/>
    <col min="9475" max="9475" width="18.6640625" style="187" customWidth="1"/>
    <col min="9476" max="9721" width="9.109375" style="187"/>
    <col min="9722" max="9722" width="4.44140625" style="187" customWidth="1"/>
    <col min="9723" max="9723" width="43.6640625" style="187" bestFit="1" customWidth="1"/>
    <col min="9724" max="9724" width="11.88671875" style="187" customWidth="1"/>
    <col min="9725" max="9725" width="12.5546875" style="187" customWidth="1"/>
    <col min="9726" max="9726" width="10.88671875" style="187" customWidth="1"/>
    <col min="9727" max="9727" width="9.88671875" style="187" customWidth="1"/>
    <col min="9728" max="9728" width="8.88671875" style="187" customWidth="1"/>
    <col min="9729" max="9729" width="10.88671875" style="187" customWidth="1"/>
    <col min="9730" max="9730" width="11.5546875" style="187" customWidth="1"/>
    <col min="9731" max="9731" width="18.6640625" style="187" customWidth="1"/>
    <col min="9732" max="9977" width="9.109375" style="187"/>
    <col min="9978" max="9978" width="4.44140625" style="187" customWidth="1"/>
    <col min="9979" max="9979" width="43.6640625" style="187" bestFit="1" customWidth="1"/>
    <col min="9980" max="9980" width="11.88671875" style="187" customWidth="1"/>
    <col min="9981" max="9981" width="12.5546875" style="187" customWidth="1"/>
    <col min="9982" max="9982" width="10.88671875" style="187" customWidth="1"/>
    <col min="9983" max="9983" width="9.88671875" style="187" customWidth="1"/>
    <col min="9984" max="9984" width="8.88671875" style="187" customWidth="1"/>
    <col min="9985" max="9985" width="10.88671875" style="187" customWidth="1"/>
    <col min="9986" max="9986" width="11.5546875" style="187" customWidth="1"/>
    <col min="9987" max="9987" width="18.6640625" style="187" customWidth="1"/>
    <col min="9988" max="10233" width="9.109375" style="187"/>
    <col min="10234" max="10234" width="4.44140625" style="187" customWidth="1"/>
    <col min="10235" max="10235" width="43.6640625" style="187" bestFit="1" customWidth="1"/>
    <col min="10236" max="10236" width="11.88671875" style="187" customWidth="1"/>
    <col min="10237" max="10237" width="12.5546875" style="187" customWidth="1"/>
    <col min="10238" max="10238" width="10.88671875" style="187" customWidth="1"/>
    <col min="10239" max="10239" width="9.88671875" style="187" customWidth="1"/>
    <col min="10240" max="10240" width="8.88671875" style="187" customWidth="1"/>
    <col min="10241" max="10241" width="10.88671875" style="187" customWidth="1"/>
    <col min="10242" max="10242" width="11.5546875" style="187" customWidth="1"/>
    <col min="10243" max="10243" width="18.6640625" style="187" customWidth="1"/>
    <col min="10244" max="10489" width="9.109375" style="187"/>
    <col min="10490" max="10490" width="4.44140625" style="187" customWidth="1"/>
    <col min="10491" max="10491" width="43.6640625" style="187" bestFit="1" customWidth="1"/>
    <col min="10492" max="10492" width="11.88671875" style="187" customWidth="1"/>
    <col min="10493" max="10493" width="12.5546875" style="187" customWidth="1"/>
    <col min="10494" max="10494" width="10.88671875" style="187" customWidth="1"/>
    <col min="10495" max="10495" width="9.88671875" style="187" customWidth="1"/>
    <col min="10496" max="10496" width="8.88671875" style="187" customWidth="1"/>
    <col min="10497" max="10497" width="10.88671875" style="187" customWidth="1"/>
    <col min="10498" max="10498" width="11.5546875" style="187" customWidth="1"/>
    <col min="10499" max="10499" width="18.6640625" style="187" customWidth="1"/>
    <col min="10500" max="10745" width="9.109375" style="187"/>
    <col min="10746" max="10746" width="4.44140625" style="187" customWidth="1"/>
    <col min="10747" max="10747" width="43.6640625" style="187" bestFit="1" customWidth="1"/>
    <col min="10748" max="10748" width="11.88671875" style="187" customWidth="1"/>
    <col min="10749" max="10749" width="12.5546875" style="187" customWidth="1"/>
    <col min="10750" max="10750" width="10.88671875" style="187" customWidth="1"/>
    <col min="10751" max="10751" width="9.88671875" style="187" customWidth="1"/>
    <col min="10752" max="10752" width="8.88671875" style="187" customWidth="1"/>
    <col min="10753" max="10753" width="10.88671875" style="187" customWidth="1"/>
    <col min="10754" max="10754" width="11.5546875" style="187" customWidth="1"/>
    <col min="10755" max="10755" width="18.6640625" style="187" customWidth="1"/>
    <col min="10756" max="11001" width="9.109375" style="187"/>
    <col min="11002" max="11002" width="4.44140625" style="187" customWidth="1"/>
    <col min="11003" max="11003" width="43.6640625" style="187" bestFit="1" customWidth="1"/>
    <col min="11004" max="11004" width="11.88671875" style="187" customWidth="1"/>
    <col min="11005" max="11005" width="12.5546875" style="187" customWidth="1"/>
    <col min="11006" max="11006" width="10.88671875" style="187" customWidth="1"/>
    <col min="11007" max="11007" width="9.88671875" style="187" customWidth="1"/>
    <col min="11008" max="11008" width="8.88671875" style="187" customWidth="1"/>
    <col min="11009" max="11009" width="10.88671875" style="187" customWidth="1"/>
    <col min="11010" max="11010" width="11.5546875" style="187" customWidth="1"/>
    <col min="11011" max="11011" width="18.6640625" style="187" customWidth="1"/>
    <col min="11012" max="11257" width="9.109375" style="187"/>
    <col min="11258" max="11258" width="4.44140625" style="187" customWidth="1"/>
    <col min="11259" max="11259" width="43.6640625" style="187" bestFit="1" customWidth="1"/>
    <col min="11260" max="11260" width="11.88671875" style="187" customWidth="1"/>
    <col min="11261" max="11261" width="12.5546875" style="187" customWidth="1"/>
    <col min="11262" max="11262" width="10.88671875" style="187" customWidth="1"/>
    <col min="11263" max="11263" width="9.88671875" style="187" customWidth="1"/>
    <col min="11264" max="11264" width="8.88671875" style="187" customWidth="1"/>
    <col min="11265" max="11265" width="10.88671875" style="187" customWidth="1"/>
    <col min="11266" max="11266" width="11.5546875" style="187" customWidth="1"/>
    <col min="11267" max="11267" width="18.6640625" style="187" customWidth="1"/>
    <col min="11268" max="11513" width="9.109375" style="187"/>
    <col min="11514" max="11514" width="4.44140625" style="187" customWidth="1"/>
    <col min="11515" max="11515" width="43.6640625" style="187" bestFit="1" customWidth="1"/>
    <col min="11516" max="11516" width="11.88671875" style="187" customWidth="1"/>
    <col min="11517" max="11517" width="12.5546875" style="187" customWidth="1"/>
    <col min="11518" max="11518" width="10.88671875" style="187" customWidth="1"/>
    <col min="11519" max="11519" width="9.88671875" style="187" customWidth="1"/>
    <col min="11520" max="11520" width="8.88671875" style="187" customWidth="1"/>
    <col min="11521" max="11521" width="10.88671875" style="187" customWidth="1"/>
    <col min="11522" max="11522" width="11.5546875" style="187" customWidth="1"/>
    <col min="11523" max="11523" width="18.6640625" style="187" customWidth="1"/>
    <col min="11524" max="11769" width="9.109375" style="187"/>
    <col min="11770" max="11770" width="4.44140625" style="187" customWidth="1"/>
    <col min="11771" max="11771" width="43.6640625" style="187" bestFit="1" customWidth="1"/>
    <col min="11772" max="11772" width="11.88671875" style="187" customWidth="1"/>
    <col min="11773" max="11773" width="12.5546875" style="187" customWidth="1"/>
    <col min="11774" max="11774" width="10.88671875" style="187" customWidth="1"/>
    <col min="11775" max="11775" width="9.88671875" style="187" customWidth="1"/>
    <col min="11776" max="11776" width="8.88671875" style="187" customWidth="1"/>
    <col min="11777" max="11777" width="10.88671875" style="187" customWidth="1"/>
    <col min="11778" max="11778" width="11.5546875" style="187" customWidth="1"/>
    <col min="11779" max="11779" width="18.6640625" style="187" customWidth="1"/>
    <col min="11780" max="12025" width="9.109375" style="187"/>
    <col min="12026" max="12026" width="4.44140625" style="187" customWidth="1"/>
    <col min="12027" max="12027" width="43.6640625" style="187" bestFit="1" customWidth="1"/>
    <col min="12028" max="12028" width="11.88671875" style="187" customWidth="1"/>
    <col min="12029" max="12029" width="12.5546875" style="187" customWidth="1"/>
    <col min="12030" max="12030" width="10.88671875" style="187" customWidth="1"/>
    <col min="12031" max="12031" width="9.88671875" style="187" customWidth="1"/>
    <col min="12032" max="12032" width="8.88671875" style="187" customWidth="1"/>
    <col min="12033" max="12033" width="10.88671875" style="187" customWidth="1"/>
    <col min="12034" max="12034" width="11.5546875" style="187" customWidth="1"/>
    <col min="12035" max="12035" width="18.6640625" style="187" customWidth="1"/>
    <col min="12036" max="12281" width="9.109375" style="187"/>
    <col min="12282" max="12282" width="4.44140625" style="187" customWidth="1"/>
    <col min="12283" max="12283" width="43.6640625" style="187" bestFit="1" customWidth="1"/>
    <col min="12284" max="12284" width="11.88671875" style="187" customWidth="1"/>
    <col min="12285" max="12285" width="12.5546875" style="187" customWidth="1"/>
    <col min="12286" max="12286" width="10.88671875" style="187" customWidth="1"/>
    <col min="12287" max="12287" width="9.88671875" style="187" customWidth="1"/>
    <col min="12288" max="12288" width="8.88671875" style="187" customWidth="1"/>
    <col min="12289" max="12289" width="10.88671875" style="187" customWidth="1"/>
    <col min="12290" max="12290" width="11.5546875" style="187" customWidth="1"/>
    <col min="12291" max="12291" width="18.6640625" style="187" customWidth="1"/>
    <col min="12292" max="12537" width="9.109375" style="187"/>
    <col min="12538" max="12538" width="4.44140625" style="187" customWidth="1"/>
    <col min="12539" max="12539" width="43.6640625" style="187" bestFit="1" customWidth="1"/>
    <col min="12540" max="12540" width="11.88671875" style="187" customWidth="1"/>
    <col min="12541" max="12541" width="12.5546875" style="187" customWidth="1"/>
    <col min="12542" max="12542" width="10.88671875" style="187" customWidth="1"/>
    <col min="12543" max="12543" width="9.88671875" style="187" customWidth="1"/>
    <col min="12544" max="12544" width="8.88671875" style="187" customWidth="1"/>
    <col min="12545" max="12545" width="10.88671875" style="187" customWidth="1"/>
    <col min="12546" max="12546" width="11.5546875" style="187" customWidth="1"/>
    <col min="12547" max="12547" width="18.6640625" style="187" customWidth="1"/>
    <col min="12548" max="12793" width="9.109375" style="187"/>
    <col min="12794" max="12794" width="4.44140625" style="187" customWidth="1"/>
    <col min="12795" max="12795" width="43.6640625" style="187" bestFit="1" customWidth="1"/>
    <col min="12796" max="12796" width="11.88671875" style="187" customWidth="1"/>
    <col min="12797" max="12797" width="12.5546875" style="187" customWidth="1"/>
    <col min="12798" max="12798" width="10.88671875" style="187" customWidth="1"/>
    <col min="12799" max="12799" width="9.88671875" style="187" customWidth="1"/>
    <col min="12800" max="12800" width="8.88671875" style="187" customWidth="1"/>
    <col min="12801" max="12801" width="10.88671875" style="187" customWidth="1"/>
    <col min="12802" max="12802" width="11.5546875" style="187" customWidth="1"/>
    <col min="12803" max="12803" width="18.6640625" style="187" customWidth="1"/>
    <col min="12804" max="13049" width="9.109375" style="187"/>
    <col min="13050" max="13050" width="4.44140625" style="187" customWidth="1"/>
    <col min="13051" max="13051" width="43.6640625" style="187" bestFit="1" customWidth="1"/>
    <col min="13052" max="13052" width="11.88671875" style="187" customWidth="1"/>
    <col min="13053" max="13053" width="12.5546875" style="187" customWidth="1"/>
    <col min="13054" max="13054" width="10.88671875" style="187" customWidth="1"/>
    <col min="13055" max="13055" width="9.88671875" style="187" customWidth="1"/>
    <col min="13056" max="13056" width="8.88671875" style="187" customWidth="1"/>
    <col min="13057" max="13057" width="10.88671875" style="187" customWidth="1"/>
    <col min="13058" max="13058" width="11.5546875" style="187" customWidth="1"/>
    <col min="13059" max="13059" width="18.6640625" style="187" customWidth="1"/>
    <col min="13060" max="13305" width="9.109375" style="187"/>
    <col min="13306" max="13306" width="4.44140625" style="187" customWidth="1"/>
    <col min="13307" max="13307" width="43.6640625" style="187" bestFit="1" customWidth="1"/>
    <col min="13308" max="13308" width="11.88671875" style="187" customWidth="1"/>
    <col min="13309" max="13309" width="12.5546875" style="187" customWidth="1"/>
    <col min="13310" max="13310" width="10.88671875" style="187" customWidth="1"/>
    <col min="13311" max="13311" width="9.88671875" style="187" customWidth="1"/>
    <col min="13312" max="13312" width="8.88671875" style="187" customWidth="1"/>
    <col min="13313" max="13313" width="10.88671875" style="187" customWidth="1"/>
    <col min="13314" max="13314" width="11.5546875" style="187" customWidth="1"/>
    <col min="13315" max="13315" width="18.6640625" style="187" customWidth="1"/>
    <col min="13316" max="13561" width="9.109375" style="187"/>
    <col min="13562" max="13562" width="4.44140625" style="187" customWidth="1"/>
    <col min="13563" max="13563" width="43.6640625" style="187" bestFit="1" customWidth="1"/>
    <col min="13564" max="13564" width="11.88671875" style="187" customWidth="1"/>
    <col min="13565" max="13565" width="12.5546875" style="187" customWidth="1"/>
    <col min="13566" max="13566" width="10.88671875" style="187" customWidth="1"/>
    <col min="13567" max="13567" width="9.88671875" style="187" customWidth="1"/>
    <col min="13568" max="13568" width="8.88671875" style="187" customWidth="1"/>
    <col min="13569" max="13569" width="10.88671875" style="187" customWidth="1"/>
    <col min="13570" max="13570" width="11.5546875" style="187" customWidth="1"/>
    <col min="13571" max="13571" width="18.6640625" style="187" customWidth="1"/>
    <col min="13572" max="13817" width="9.109375" style="187"/>
    <col min="13818" max="13818" width="4.44140625" style="187" customWidth="1"/>
    <col min="13819" max="13819" width="43.6640625" style="187" bestFit="1" customWidth="1"/>
    <col min="13820" max="13820" width="11.88671875" style="187" customWidth="1"/>
    <col min="13821" max="13821" width="12.5546875" style="187" customWidth="1"/>
    <col min="13822" max="13822" width="10.88671875" style="187" customWidth="1"/>
    <col min="13823" max="13823" width="9.88671875" style="187" customWidth="1"/>
    <col min="13824" max="13824" width="8.88671875" style="187" customWidth="1"/>
    <col min="13825" max="13825" width="10.88671875" style="187" customWidth="1"/>
    <col min="13826" max="13826" width="11.5546875" style="187" customWidth="1"/>
    <col min="13827" max="13827" width="18.6640625" style="187" customWidth="1"/>
    <col min="13828" max="14073" width="9.109375" style="187"/>
    <col min="14074" max="14074" width="4.44140625" style="187" customWidth="1"/>
    <col min="14075" max="14075" width="43.6640625" style="187" bestFit="1" customWidth="1"/>
    <col min="14076" max="14076" width="11.88671875" style="187" customWidth="1"/>
    <col min="14077" max="14077" width="12.5546875" style="187" customWidth="1"/>
    <col min="14078" max="14078" width="10.88671875" style="187" customWidth="1"/>
    <col min="14079" max="14079" width="9.88671875" style="187" customWidth="1"/>
    <col min="14080" max="14080" width="8.88671875" style="187" customWidth="1"/>
    <col min="14081" max="14081" width="10.88671875" style="187" customWidth="1"/>
    <col min="14082" max="14082" width="11.5546875" style="187" customWidth="1"/>
    <col min="14083" max="14083" width="18.6640625" style="187" customWidth="1"/>
    <col min="14084" max="14329" width="9.109375" style="187"/>
    <col min="14330" max="14330" width="4.44140625" style="187" customWidth="1"/>
    <col min="14331" max="14331" width="43.6640625" style="187" bestFit="1" customWidth="1"/>
    <col min="14332" max="14332" width="11.88671875" style="187" customWidth="1"/>
    <col min="14333" max="14333" width="12.5546875" style="187" customWidth="1"/>
    <col min="14334" max="14334" width="10.88671875" style="187" customWidth="1"/>
    <col min="14335" max="14335" width="9.88671875" style="187" customWidth="1"/>
    <col min="14336" max="14336" width="8.88671875" style="187" customWidth="1"/>
    <col min="14337" max="14337" width="10.88671875" style="187" customWidth="1"/>
    <col min="14338" max="14338" width="11.5546875" style="187" customWidth="1"/>
    <col min="14339" max="14339" width="18.6640625" style="187" customWidth="1"/>
    <col min="14340" max="14585" width="9.109375" style="187"/>
    <col min="14586" max="14586" width="4.44140625" style="187" customWidth="1"/>
    <col min="14587" max="14587" width="43.6640625" style="187" bestFit="1" customWidth="1"/>
    <col min="14588" max="14588" width="11.88671875" style="187" customWidth="1"/>
    <col min="14589" max="14589" width="12.5546875" style="187" customWidth="1"/>
    <col min="14590" max="14590" width="10.88671875" style="187" customWidth="1"/>
    <col min="14591" max="14591" width="9.88671875" style="187" customWidth="1"/>
    <col min="14592" max="14592" width="8.88671875" style="187" customWidth="1"/>
    <col min="14593" max="14593" width="10.88671875" style="187" customWidth="1"/>
    <col min="14594" max="14594" width="11.5546875" style="187" customWidth="1"/>
    <col min="14595" max="14595" width="18.6640625" style="187" customWidth="1"/>
    <col min="14596" max="14841" width="9.109375" style="187"/>
    <col min="14842" max="14842" width="4.44140625" style="187" customWidth="1"/>
    <col min="14843" max="14843" width="43.6640625" style="187" bestFit="1" customWidth="1"/>
    <col min="14844" max="14844" width="11.88671875" style="187" customWidth="1"/>
    <col min="14845" max="14845" width="12.5546875" style="187" customWidth="1"/>
    <col min="14846" max="14846" width="10.88671875" style="187" customWidth="1"/>
    <col min="14847" max="14847" width="9.88671875" style="187" customWidth="1"/>
    <col min="14848" max="14848" width="8.88671875" style="187" customWidth="1"/>
    <col min="14849" max="14849" width="10.88671875" style="187" customWidth="1"/>
    <col min="14850" max="14850" width="11.5546875" style="187" customWidth="1"/>
    <col min="14851" max="14851" width="18.6640625" style="187" customWidth="1"/>
    <col min="14852" max="15097" width="9.109375" style="187"/>
    <col min="15098" max="15098" width="4.44140625" style="187" customWidth="1"/>
    <col min="15099" max="15099" width="43.6640625" style="187" bestFit="1" customWidth="1"/>
    <col min="15100" max="15100" width="11.88671875" style="187" customWidth="1"/>
    <col min="15101" max="15101" width="12.5546875" style="187" customWidth="1"/>
    <col min="15102" max="15102" width="10.88671875" style="187" customWidth="1"/>
    <col min="15103" max="15103" width="9.88671875" style="187" customWidth="1"/>
    <col min="15104" max="15104" width="8.88671875" style="187" customWidth="1"/>
    <col min="15105" max="15105" width="10.88671875" style="187" customWidth="1"/>
    <col min="15106" max="15106" width="11.5546875" style="187" customWidth="1"/>
    <col min="15107" max="15107" width="18.6640625" style="187" customWidth="1"/>
    <col min="15108" max="15353" width="9.109375" style="187"/>
    <col min="15354" max="15354" width="4.44140625" style="187" customWidth="1"/>
    <col min="15355" max="15355" width="43.6640625" style="187" bestFit="1" customWidth="1"/>
    <col min="15356" max="15356" width="11.88671875" style="187" customWidth="1"/>
    <col min="15357" max="15357" width="12.5546875" style="187" customWidth="1"/>
    <col min="15358" max="15358" width="10.88671875" style="187" customWidth="1"/>
    <col min="15359" max="15359" width="9.88671875" style="187" customWidth="1"/>
    <col min="15360" max="15360" width="8.88671875" style="187" customWidth="1"/>
    <col min="15361" max="15361" width="10.88671875" style="187" customWidth="1"/>
    <col min="15362" max="15362" width="11.5546875" style="187" customWidth="1"/>
    <col min="15363" max="15363" width="18.6640625" style="187" customWidth="1"/>
    <col min="15364" max="15609" width="9.109375" style="187"/>
    <col min="15610" max="15610" width="4.44140625" style="187" customWidth="1"/>
    <col min="15611" max="15611" width="43.6640625" style="187" bestFit="1" customWidth="1"/>
    <col min="15612" max="15612" width="11.88671875" style="187" customWidth="1"/>
    <col min="15613" max="15613" width="12.5546875" style="187" customWidth="1"/>
    <col min="15614" max="15614" width="10.88671875" style="187" customWidth="1"/>
    <col min="15615" max="15615" width="9.88671875" style="187" customWidth="1"/>
    <col min="15616" max="15616" width="8.88671875" style="187" customWidth="1"/>
    <col min="15617" max="15617" width="10.88671875" style="187" customWidth="1"/>
    <col min="15618" max="15618" width="11.5546875" style="187" customWidth="1"/>
    <col min="15619" max="15619" width="18.6640625" style="187" customWidth="1"/>
    <col min="15620" max="15865" width="9.109375" style="187"/>
    <col min="15866" max="15866" width="4.44140625" style="187" customWidth="1"/>
    <col min="15867" max="15867" width="43.6640625" style="187" bestFit="1" customWidth="1"/>
    <col min="15868" max="15868" width="11.88671875" style="187" customWidth="1"/>
    <col min="15869" max="15869" width="12.5546875" style="187" customWidth="1"/>
    <col min="15870" max="15870" width="10.88671875" style="187" customWidth="1"/>
    <col min="15871" max="15871" width="9.88671875" style="187" customWidth="1"/>
    <col min="15872" max="15872" width="8.88671875" style="187" customWidth="1"/>
    <col min="15873" max="15873" width="10.88671875" style="187" customWidth="1"/>
    <col min="15874" max="15874" width="11.5546875" style="187" customWidth="1"/>
    <col min="15875" max="15875" width="18.6640625" style="187" customWidth="1"/>
    <col min="15876" max="16121" width="9.109375" style="187"/>
    <col min="16122" max="16122" width="4.44140625" style="187" customWidth="1"/>
    <col min="16123" max="16123" width="43.6640625" style="187" bestFit="1" customWidth="1"/>
    <col min="16124" max="16124" width="11.88671875" style="187" customWidth="1"/>
    <col min="16125" max="16125" width="12.5546875" style="187" customWidth="1"/>
    <col min="16126" max="16126" width="10.88671875" style="187" customWidth="1"/>
    <col min="16127" max="16127" width="9.88671875" style="187" customWidth="1"/>
    <col min="16128" max="16128" width="8.88671875" style="187" customWidth="1"/>
    <col min="16129" max="16129" width="10.88671875" style="187" customWidth="1"/>
    <col min="16130" max="16130" width="11.5546875" style="187" customWidth="1"/>
    <col min="16131" max="16131" width="18.6640625" style="187" customWidth="1"/>
    <col min="16132" max="16384" width="9.109375" style="187"/>
  </cols>
  <sheetData>
    <row r="1" spans="1:12" hidden="1" x14ac:dyDescent="0.25">
      <c r="A1" s="182" t="s">
        <v>0</v>
      </c>
      <c r="B1" s="183"/>
      <c r="C1" s="184"/>
      <c r="D1" s="184"/>
      <c r="E1" s="185"/>
      <c r="F1" s="185"/>
      <c r="G1" s="185"/>
      <c r="H1" s="185"/>
      <c r="I1" s="186" t="s">
        <v>301</v>
      </c>
    </row>
    <row r="2" spans="1:12" hidden="1" x14ac:dyDescent="0.25">
      <c r="A2" s="188"/>
      <c r="B2" s="189"/>
      <c r="C2" s="184"/>
      <c r="D2" s="184"/>
      <c r="E2" s="185"/>
      <c r="F2" s="185"/>
      <c r="G2" s="185"/>
      <c r="H2" s="185"/>
      <c r="I2" s="186"/>
    </row>
    <row r="3" spans="1:12" hidden="1" x14ac:dyDescent="0.25">
      <c r="A3" s="188"/>
      <c r="B3" s="189"/>
      <c r="C3" s="184"/>
      <c r="D3" s="184"/>
      <c r="E3" s="185"/>
      <c r="F3" s="185"/>
      <c r="G3" s="185"/>
      <c r="H3" s="185"/>
      <c r="I3" s="186"/>
    </row>
    <row r="4" spans="1:12" hidden="1" x14ac:dyDescent="0.25">
      <c r="A4" s="188"/>
      <c r="B4" s="189"/>
      <c r="C4" s="184"/>
      <c r="D4" s="184"/>
      <c r="E4" s="185"/>
      <c r="F4" s="185"/>
      <c r="G4" s="185"/>
      <c r="H4" s="185"/>
      <c r="I4" s="186"/>
    </row>
    <row r="5" spans="1:12" hidden="1" x14ac:dyDescent="0.25">
      <c r="A5" s="188"/>
      <c r="B5" s="189"/>
      <c r="C5" s="184"/>
      <c r="D5" s="184"/>
      <c r="E5" s="185"/>
      <c r="F5" s="185"/>
      <c r="G5" s="185"/>
      <c r="H5" s="185"/>
      <c r="I5" s="186"/>
    </row>
    <row r="6" spans="1:12" x14ac:dyDescent="0.25">
      <c r="A6" s="447" t="s">
        <v>0</v>
      </c>
      <c r="B6" s="447"/>
      <c r="C6" s="184"/>
      <c r="D6" s="184"/>
      <c r="E6" s="185"/>
      <c r="F6" s="185"/>
      <c r="G6" s="185"/>
      <c r="I6" s="184" t="s">
        <v>928</v>
      </c>
    </row>
    <row r="7" spans="1:12" x14ac:dyDescent="0.25">
      <c r="A7" s="33"/>
      <c r="B7" s="33"/>
      <c r="C7" s="184"/>
      <c r="D7" s="184"/>
      <c r="E7" s="185"/>
      <c r="F7" s="185"/>
      <c r="G7" s="185"/>
      <c r="H7" s="185"/>
      <c r="I7" s="186"/>
    </row>
    <row r="8" spans="1:12" ht="15.6" x14ac:dyDescent="0.3">
      <c r="A8" s="450" t="s">
        <v>302</v>
      </c>
      <c r="B8" s="450"/>
      <c r="C8" s="450"/>
      <c r="D8" s="450"/>
      <c r="E8" s="450"/>
      <c r="F8" s="450"/>
      <c r="G8" s="450"/>
      <c r="H8" s="450"/>
      <c r="I8" s="450"/>
    </row>
    <row r="9" spans="1:12" x14ac:dyDescent="0.25">
      <c r="A9" s="188"/>
      <c r="B9" s="190"/>
      <c r="C9" s="191"/>
      <c r="D9" s="191"/>
      <c r="E9" s="191"/>
      <c r="F9" s="191"/>
      <c r="G9" s="191"/>
      <c r="H9" s="191"/>
    </row>
    <row r="10" spans="1:12" ht="13.8" thickBot="1" x14ac:dyDescent="0.3">
      <c r="A10" s="188"/>
      <c r="B10" s="192" t="s">
        <v>303</v>
      </c>
      <c r="C10" s="184"/>
      <c r="D10" s="184"/>
      <c r="E10" s="185"/>
      <c r="F10" s="185"/>
      <c r="G10" s="185"/>
      <c r="H10" s="185"/>
      <c r="I10" s="191" t="s">
        <v>304</v>
      </c>
    </row>
    <row r="11" spans="1:12" ht="52.8" x14ac:dyDescent="0.25">
      <c r="A11" s="422" t="s">
        <v>263</v>
      </c>
      <c r="B11" s="422" t="s">
        <v>1</v>
      </c>
      <c r="C11" s="422" t="s">
        <v>264</v>
      </c>
      <c r="D11" s="422" t="s">
        <v>265</v>
      </c>
      <c r="E11" s="422" t="s">
        <v>266</v>
      </c>
      <c r="F11" s="422" t="s">
        <v>267</v>
      </c>
      <c r="G11" s="422" t="s">
        <v>268</v>
      </c>
      <c r="H11" s="422" t="s">
        <v>269</v>
      </c>
      <c r="I11" s="422" t="s">
        <v>270</v>
      </c>
    </row>
    <row r="12" spans="1:12" x14ac:dyDescent="0.25">
      <c r="A12" s="173" t="s">
        <v>141</v>
      </c>
      <c r="B12" s="149" t="s">
        <v>271</v>
      </c>
      <c r="C12" s="150">
        <f>SUM(D12:I12)</f>
        <v>1642.3400000000001</v>
      </c>
      <c r="D12" s="151">
        <f t="shared" ref="D12:I12" si="0">D32</f>
        <v>1642.3400000000001</v>
      </c>
      <c r="E12" s="151">
        <f t="shared" si="0"/>
        <v>0</v>
      </c>
      <c r="F12" s="151">
        <f t="shared" si="0"/>
        <v>0</v>
      </c>
      <c r="G12" s="151">
        <f t="shared" si="0"/>
        <v>0</v>
      </c>
      <c r="H12" s="152"/>
      <c r="I12" s="153">
        <f t="shared" si="0"/>
        <v>0</v>
      </c>
    </row>
    <row r="13" spans="1:12" x14ac:dyDescent="0.25">
      <c r="A13" s="173" t="s">
        <v>272</v>
      </c>
      <c r="B13" s="149" t="s">
        <v>273</v>
      </c>
      <c r="C13" s="150">
        <f t="shared" ref="C13:C27" si="1">SUM(D13:I13)</f>
        <v>6000</v>
      </c>
      <c r="D13" s="151">
        <f>D46</f>
        <v>6000</v>
      </c>
      <c r="E13" s="151">
        <f>E46</f>
        <v>0</v>
      </c>
      <c r="F13" s="151">
        <f>F46</f>
        <v>0</v>
      </c>
      <c r="G13" s="151">
        <f>G46</f>
        <v>0</v>
      </c>
      <c r="H13" s="151"/>
      <c r="I13" s="153">
        <f>I46</f>
        <v>0</v>
      </c>
      <c r="J13" s="193"/>
      <c r="K13" s="193"/>
      <c r="L13" s="193"/>
    </row>
    <row r="14" spans="1:12" x14ac:dyDescent="0.25">
      <c r="A14" s="174" t="s">
        <v>274</v>
      </c>
      <c r="B14" s="155" t="s">
        <v>275</v>
      </c>
      <c r="C14" s="150">
        <f t="shared" si="1"/>
        <v>680.94</v>
      </c>
      <c r="D14" s="156">
        <f>D59</f>
        <v>680.94</v>
      </c>
      <c r="E14" s="156">
        <f>E59</f>
        <v>0</v>
      </c>
      <c r="F14" s="156">
        <f>F59</f>
        <v>0</v>
      </c>
      <c r="G14" s="156">
        <f>G59</f>
        <v>0</v>
      </c>
      <c r="H14" s="157"/>
      <c r="I14" s="158">
        <f>I59</f>
        <v>0</v>
      </c>
    </row>
    <row r="15" spans="1:12" x14ac:dyDescent="0.25">
      <c r="A15" s="174" t="s">
        <v>276</v>
      </c>
      <c r="B15" s="155" t="s">
        <v>251</v>
      </c>
      <c r="C15" s="150">
        <f t="shared" si="1"/>
        <v>649</v>
      </c>
      <c r="D15" s="156">
        <f>D66</f>
        <v>649</v>
      </c>
      <c r="E15" s="156">
        <f>E66</f>
        <v>0</v>
      </c>
      <c r="F15" s="156">
        <f>F66</f>
        <v>0</v>
      </c>
      <c r="G15" s="156">
        <f>G66</f>
        <v>0</v>
      </c>
      <c r="H15" s="157"/>
      <c r="I15" s="158">
        <f>I66</f>
        <v>0</v>
      </c>
    </row>
    <row r="16" spans="1:12" x14ac:dyDescent="0.25">
      <c r="A16" s="174" t="s">
        <v>277</v>
      </c>
      <c r="B16" s="155" t="s">
        <v>278</v>
      </c>
      <c r="C16" s="150">
        <f t="shared" si="1"/>
        <v>151</v>
      </c>
      <c r="D16" s="156">
        <f>D87</f>
        <v>151</v>
      </c>
      <c r="E16" s="156">
        <f>E87</f>
        <v>0</v>
      </c>
      <c r="F16" s="156">
        <f>F87</f>
        <v>0</v>
      </c>
      <c r="G16" s="156">
        <f>G87</f>
        <v>0</v>
      </c>
      <c r="H16" s="157"/>
      <c r="I16" s="158">
        <f>I87</f>
        <v>0</v>
      </c>
    </row>
    <row r="17" spans="1:9" x14ac:dyDescent="0.25">
      <c r="A17" s="174" t="s">
        <v>279</v>
      </c>
      <c r="B17" s="155" t="s">
        <v>280</v>
      </c>
      <c r="C17" s="150">
        <f t="shared" si="1"/>
        <v>5643.2699999999995</v>
      </c>
      <c r="D17" s="156">
        <f>D93</f>
        <v>5643.2699999999995</v>
      </c>
      <c r="E17" s="156">
        <f>E93</f>
        <v>0</v>
      </c>
      <c r="F17" s="156">
        <f>F93</f>
        <v>0</v>
      </c>
      <c r="G17" s="156">
        <f>G93</f>
        <v>0</v>
      </c>
      <c r="H17" s="157"/>
      <c r="I17" s="158">
        <f>I93</f>
        <v>0</v>
      </c>
    </row>
    <row r="18" spans="1:9" x14ac:dyDescent="0.25">
      <c r="A18" s="174" t="s">
        <v>281</v>
      </c>
      <c r="B18" s="155" t="s">
        <v>282</v>
      </c>
      <c r="C18" s="150">
        <f t="shared" si="1"/>
        <v>1117.68</v>
      </c>
      <c r="D18" s="156">
        <f>D103</f>
        <v>1117.68</v>
      </c>
      <c r="E18" s="156">
        <f>E103</f>
        <v>0</v>
      </c>
      <c r="F18" s="156">
        <f>F103</f>
        <v>0</v>
      </c>
      <c r="G18" s="156">
        <f>G103</f>
        <v>0</v>
      </c>
      <c r="H18" s="157"/>
      <c r="I18" s="158">
        <f>I103</f>
        <v>0</v>
      </c>
    </row>
    <row r="19" spans="1:9" x14ac:dyDescent="0.25">
      <c r="A19" s="174" t="s">
        <v>283</v>
      </c>
      <c r="B19" s="155" t="s">
        <v>284</v>
      </c>
      <c r="C19" s="150">
        <f t="shared" si="1"/>
        <v>31827</v>
      </c>
      <c r="D19" s="156">
        <f t="shared" ref="D19:I19" si="2">D106</f>
        <v>0</v>
      </c>
      <c r="E19" s="156">
        <f t="shared" si="2"/>
        <v>0</v>
      </c>
      <c r="F19" s="156">
        <f t="shared" si="2"/>
        <v>0</v>
      </c>
      <c r="G19" s="156">
        <f t="shared" si="2"/>
        <v>0</v>
      </c>
      <c r="H19" s="156">
        <f t="shared" si="2"/>
        <v>31827</v>
      </c>
      <c r="I19" s="158">
        <f t="shared" si="2"/>
        <v>0</v>
      </c>
    </row>
    <row r="20" spans="1:9" x14ac:dyDescent="0.25">
      <c r="A20" s="174" t="s">
        <v>285</v>
      </c>
      <c r="B20" s="155" t="s">
        <v>286</v>
      </c>
      <c r="C20" s="150">
        <f t="shared" si="1"/>
        <v>1821</v>
      </c>
      <c r="D20" s="156">
        <f>D140</f>
        <v>1821</v>
      </c>
      <c r="E20" s="156">
        <f>E140</f>
        <v>0</v>
      </c>
      <c r="F20" s="156">
        <f>F140</f>
        <v>0</v>
      </c>
      <c r="G20" s="156">
        <f>G140</f>
        <v>0</v>
      </c>
      <c r="H20" s="157"/>
      <c r="I20" s="158">
        <f>I140</f>
        <v>0</v>
      </c>
    </row>
    <row r="21" spans="1:9" x14ac:dyDescent="0.25">
      <c r="A21" s="174" t="s">
        <v>287</v>
      </c>
      <c r="B21" s="155" t="s">
        <v>288</v>
      </c>
      <c r="C21" s="150">
        <f t="shared" si="1"/>
        <v>1037</v>
      </c>
      <c r="D21" s="156">
        <f>D142</f>
        <v>1037</v>
      </c>
      <c r="E21" s="156">
        <f>E142</f>
        <v>0</v>
      </c>
      <c r="F21" s="156">
        <f>F142</f>
        <v>0</v>
      </c>
      <c r="G21" s="156">
        <f>G142</f>
        <v>0</v>
      </c>
      <c r="H21" s="156"/>
      <c r="I21" s="158">
        <f>I142</f>
        <v>0</v>
      </c>
    </row>
    <row r="22" spans="1:9" x14ac:dyDescent="0.25">
      <c r="A22" s="174" t="s">
        <v>289</v>
      </c>
      <c r="B22" s="155" t="s">
        <v>290</v>
      </c>
      <c r="C22" s="150">
        <f t="shared" si="1"/>
        <v>9499</v>
      </c>
      <c r="D22" s="156">
        <f>D144</f>
        <v>9499</v>
      </c>
      <c r="E22" s="156">
        <f t="shared" ref="E22:I22" si="3">E144</f>
        <v>0</v>
      </c>
      <c r="F22" s="156">
        <f t="shared" si="3"/>
        <v>0</v>
      </c>
      <c r="G22" s="156">
        <f t="shared" si="3"/>
        <v>0</v>
      </c>
      <c r="H22" s="156">
        <f t="shared" si="3"/>
        <v>0</v>
      </c>
      <c r="I22" s="158">
        <f t="shared" si="3"/>
        <v>0</v>
      </c>
    </row>
    <row r="23" spans="1:9" x14ac:dyDescent="0.25">
      <c r="A23" s="174" t="s">
        <v>291</v>
      </c>
      <c r="B23" s="155" t="s">
        <v>292</v>
      </c>
      <c r="C23" s="150">
        <f t="shared" si="1"/>
        <v>141502.09</v>
      </c>
      <c r="D23" s="156">
        <f>D149</f>
        <v>59912.68</v>
      </c>
      <c r="E23" s="156">
        <f>E149</f>
        <v>0</v>
      </c>
      <c r="F23" s="156">
        <f>F149</f>
        <v>81589.41</v>
      </c>
      <c r="G23" s="156">
        <f>G149</f>
        <v>0</v>
      </c>
      <c r="H23" s="157"/>
      <c r="I23" s="158">
        <f>I149</f>
        <v>0</v>
      </c>
    </row>
    <row r="24" spans="1:9" x14ac:dyDescent="0.25">
      <c r="A24" s="174" t="s">
        <v>293</v>
      </c>
      <c r="B24" s="159" t="s">
        <v>294</v>
      </c>
      <c r="C24" s="150">
        <f t="shared" si="1"/>
        <v>52939.849999999991</v>
      </c>
      <c r="D24" s="156">
        <f>D368</f>
        <v>52939.849999999991</v>
      </c>
      <c r="E24" s="156">
        <f>E368</f>
        <v>0</v>
      </c>
      <c r="F24" s="156">
        <f>F368</f>
        <v>0</v>
      </c>
      <c r="G24" s="156">
        <f>G368</f>
        <v>0</v>
      </c>
      <c r="H24" s="157"/>
      <c r="I24" s="158">
        <f>I368</f>
        <v>0</v>
      </c>
    </row>
    <row r="25" spans="1:9" x14ac:dyDescent="0.25">
      <c r="A25" s="174" t="s">
        <v>295</v>
      </c>
      <c r="B25" s="155" t="s">
        <v>296</v>
      </c>
      <c r="C25" s="150">
        <f t="shared" si="1"/>
        <v>1070306.87613</v>
      </c>
      <c r="D25" s="156">
        <f t="shared" ref="D25:I25" si="4">D492</f>
        <v>133768.20325200004</v>
      </c>
      <c r="E25" s="156">
        <f t="shared" si="4"/>
        <v>220932.50999999995</v>
      </c>
      <c r="F25" s="156">
        <f t="shared" si="4"/>
        <v>204275.03</v>
      </c>
      <c r="G25" s="156">
        <f t="shared" si="4"/>
        <v>0</v>
      </c>
      <c r="H25" s="156">
        <f t="shared" si="4"/>
        <v>25981.599999999999</v>
      </c>
      <c r="I25" s="158">
        <f t="shared" si="4"/>
        <v>485349.532878</v>
      </c>
    </row>
    <row r="26" spans="1:9" x14ac:dyDescent="0.25">
      <c r="A26" s="174" t="s">
        <v>297</v>
      </c>
      <c r="B26" s="155" t="s">
        <v>298</v>
      </c>
      <c r="C26" s="175">
        <f t="shared" si="1"/>
        <v>122675.13</v>
      </c>
      <c r="D26" s="176">
        <f>D599</f>
        <v>0</v>
      </c>
      <c r="E26" s="176">
        <f>E599</f>
        <v>33420.58</v>
      </c>
      <c r="F26" s="176">
        <f>F599</f>
        <v>0</v>
      </c>
      <c r="G26" s="176">
        <f>G599</f>
        <v>48583.26</v>
      </c>
      <c r="H26" s="177"/>
      <c r="I26" s="165">
        <f>I599</f>
        <v>40671.29</v>
      </c>
    </row>
    <row r="27" spans="1:9" ht="13.8" thickBot="1" x14ac:dyDescent="0.3">
      <c r="A27" s="174" t="s">
        <v>299</v>
      </c>
      <c r="B27" s="160" t="s">
        <v>300</v>
      </c>
      <c r="C27" s="175">
        <f t="shared" si="1"/>
        <v>192.20000000000002</v>
      </c>
      <c r="D27" s="178">
        <f>D656</f>
        <v>0</v>
      </c>
      <c r="E27" s="178">
        <f>E656</f>
        <v>0</v>
      </c>
      <c r="F27" s="178">
        <f>F656</f>
        <v>0</v>
      </c>
      <c r="G27" s="178">
        <f>G656</f>
        <v>192.20000000000002</v>
      </c>
      <c r="H27" s="179"/>
      <c r="I27" s="180">
        <f>I656</f>
        <v>0</v>
      </c>
    </row>
    <row r="28" spans="1:9" ht="13.8" thickBot="1" x14ac:dyDescent="0.3">
      <c r="A28" s="181"/>
      <c r="B28" s="163" t="s">
        <v>264</v>
      </c>
      <c r="C28" s="164">
        <f t="shared" ref="C28:I28" si="5">SUM(C12:C27)</f>
        <v>1447684.37613</v>
      </c>
      <c r="D28" s="164">
        <f t="shared" si="5"/>
        <v>274861.96325200005</v>
      </c>
      <c r="E28" s="164">
        <f t="shared" si="5"/>
        <v>254353.08999999997</v>
      </c>
      <c r="F28" s="164">
        <f t="shared" si="5"/>
        <v>285864.44</v>
      </c>
      <c r="G28" s="164">
        <f t="shared" si="5"/>
        <v>48775.46</v>
      </c>
      <c r="H28" s="164">
        <f t="shared" si="5"/>
        <v>57808.6</v>
      </c>
      <c r="I28" s="391">
        <f t="shared" si="5"/>
        <v>526020.82287799998</v>
      </c>
    </row>
    <row r="29" spans="1:9" x14ac:dyDescent="0.25">
      <c r="A29" s="188"/>
      <c r="B29" s="192"/>
      <c r="C29" s="184"/>
      <c r="D29" s="184"/>
      <c r="E29" s="184"/>
      <c r="F29" s="184"/>
      <c r="G29" s="184"/>
      <c r="H29" s="184"/>
      <c r="I29" s="184"/>
    </row>
    <row r="30" spans="1:9" ht="13.8" thickBot="1" x14ac:dyDescent="0.3">
      <c r="A30" s="188"/>
      <c r="B30" s="192" t="s">
        <v>305</v>
      </c>
      <c r="C30" s="184"/>
      <c r="D30" s="194"/>
      <c r="E30" s="185"/>
      <c r="F30" s="185"/>
      <c r="G30" s="185"/>
      <c r="H30" s="185"/>
      <c r="I30" s="184"/>
    </row>
    <row r="31" spans="1:9" ht="53.4" thickBot="1" x14ac:dyDescent="0.3">
      <c r="A31" s="422" t="s">
        <v>263</v>
      </c>
      <c r="B31" s="422" t="s">
        <v>1</v>
      </c>
      <c r="C31" s="422" t="s">
        <v>264</v>
      </c>
      <c r="D31" s="422" t="s">
        <v>265</v>
      </c>
      <c r="E31" s="422" t="s">
        <v>266</v>
      </c>
      <c r="F31" s="422" t="s">
        <v>267</v>
      </c>
      <c r="G31" s="422" t="s">
        <v>268</v>
      </c>
      <c r="H31" s="422" t="s">
        <v>269</v>
      </c>
      <c r="I31" s="422" t="s">
        <v>270</v>
      </c>
    </row>
    <row r="32" spans="1:9" ht="13.8" thickBot="1" x14ac:dyDescent="0.3">
      <c r="A32" s="195" t="s">
        <v>141</v>
      </c>
      <c r="B32" s="196" t="s">
        <v>271</v>
      </c>
      <c r="C32" s="197">
        <f t="shared" ref="C32:I32" si="6">SUM(C33:C45)</f>
        <v>1642.3400000000001</v>
      </c>
      <c r="D32" s="197">
        <f t="shared" si="6"/>
        <v>1642.3400000000001</v>
      </c>
      <c r="E32" s="197">
        <f t="shared" si="6"/>
        <v>0</v>
      </c>
      <c r="F32" s="197">
        <f t="shared" si="6"/>
        <v>0</v>
      </c>
      <c r="G32" s="197">
        <f t="shared" si="6"/>
        <v>0</v>
      </c>
      <c r="H32" s="197">
        <f t="shared" si="6"/>
        <v>0</v>
      </c>
      <c r="I32" s="198">
        <f t="shared" si="6"/>
        <v>0</v>
      </c>
    </row>
    <row r="33" spans="1:9" ht="52.8" x14ac:dyDescent="0.25">
      <c r="A33" s="199">
        <v>1</v>
      </c>
      <c r="B33" s="200" t="s">
        <v>306</v>
      </c>
      <c r="C33" s="201">
        <f t="shared" ref="C33:C92" si="7">SUM(D33:I33)</f>
        <v>500</v>
      </c>
      <c r="D33" s="202">
        <v>500</v>
      </c>
      <c r="E33" s="202"/>
      <c r="F33" s="203"/>
      <c r="G33" s="203"/>
      <c r="H33" s="203"/>
      <c r="I33" s="204"/>
    </row>
    <row r="34" spans="1:9" ht="39.6" x14ac:dyDescent="0.25">
      <c r="A34" s="205">
        <v>2</v>
      </c>
      <c r="B34" s="206" t="s">
        <v>307</v>
      </c>
      <c r="C34" s="207">
        <f t="shared" si="7"/>
        <v>10</v>
      </c>
      <c r="D34" s="176">
        <v>10</v>
      </c>
      <c r="E34" s="176"/>
      <c r="F34" s="208"/>
      <c r="G34" s="208"/>
      <c r="H34" s="208"/>
      <c r="I34" s="209"/>
    </row>
    <row r="35" spans="1:9" x14ac:dyDescent="0.25">
      <c r="A35" s="205">
        <v>3</v>
      </c>
      <c r="B35" s="206" t="s">
        <v>308</v>
      </c>
      <c r="C35" s="207">
        <f t="shared" si="7"/>
        <v>400</v>
      </c>
      <c r="D35" s="176">
        <v>400</v>
      </c>
      <c r="E35" s="176"/>
      <c r="F35" s="208"/>
      <c r="G35" s="208"/>
      <c r="H35" s="208"/>
      <c r="I35" s="209"/>
    </row>
    <row r="36" spans="1:9" x14ac:dyDescent="0.25">
      <c r="A36" s="205">
        <v>4</v>
      </c>
      <c r="B36" s="206" t="s">
        <v>309</v>
      </c>
      <c r="C36" s="207">
        <f t="shared" si="7"/>
        <v>7.5</v>
      </c>
      <c r="D36" s="176">
        <v>7.5</v>
      </c>
      <c r="E36" s="176"/>
      <c r="F36" s="208"/>
      <c r="G36" s="208"/>
      <c r="H36" s="208"/>
      <c r="I36" s="209"/>
    </row>
    <row r="37" spans="1:9" x14ac:dyDescent="0.25">
      <c r="A37" s="205">
        <v>5</v>
      </c>
      <c r="B37" s="206" t="s">
        <v>310</v>
      </c>
      <c r="C37" s="207">
        <f t="shared" si="7"/>
        <v>18.2</v>
      </c>
      <c r="D37" s="176">
        <v>18.2</v>
      </c>
      <c r="E37" s="176"/>
      <c r="F37" s="208"/>
      <c r="G37" s="208"/>
      <c r="H37" s="208"/>
      <c r="I37" s="209"/>
    </row>
    <row r="38" spans="1:9" ht="26.4" x14ac:dyDescent="0.25">
      <c r="A38" s="205">
        <v>6</v>
      </c>
      <c r="B38" s="206" t="s">
        <v>311</v>
      </c>
      <c r="C38" s="207">
        <f t="shared" si="7"/>
        <v>70</v>
      </c>
      <c r="D38" s="176">
        <v>70</v>
      </c>
      <c r="E38" s="176"/>
      <c r="F38" s="208"/>
      <c r="G38" s="208"/>
      <c r="H38" s="208"/>
      <c r="I38" s="209"/>
    </row>
    <row r="39" spans="1:9" ht="39.6" x14ac:dyDescent="0.25">
      <c r="A39" s="205">
        <v>7</v>
      </c>
      <c r="B39" s="206" t="s">
        <v>312</v>
      </c>
      <c r="C39" s="207">
        <f t="shared" si="7"/>
        <v>270</v>
      </c>
      <c r="D39" s="176">
        <v>270</v>
      </c>
      <c r="E39" s="176"/>
      <c r="F39" s="208"/>
      <c r="G39" s="208"/>
      <c r="H39" s="208"/>
      <c r="I39" s="209"/>
    </row>
    <row r="40" spans="1:9" ht="26.4" x14ac:dyDescent="0.25">
      <c r="A40" s="205">
        <v>8</v>
      </c>
      <c r="B40" s="206" t="s">
        <v>313</v>
      </c>
      <c r="C40" s="207">
        <f t="shared" si="7"/>
        <v>15</v>
      </c>
      <c r="D40" s="176">
        <v>15</v>
      </c>
      <c r="E40" s="176"/>
      <c r="F40" s="208"/>
      <c r="G40" s="208"/>
      <c r="H40" s="208"/>
      <c r="I40" s="209"/>
    </row>
    <row r="41" spans="1:9" ht="26.4" x14ac:dyDescent="0.25">
      <c r="A41" s="205">
        <v>9</v>
      </c>
      <c r="B41" s="206" t="s">
        <v>314</v>
      </c>
      <c r="C41" s="207">
        <f t="shared" si="7"/>
        <v>15</v>
      </c>
      <c r="D41" s="176">
        <v>15</v>
      </c>
      <c r="E41" s="176"/>
      <c r="F41" s="208"/>
      <c r="G41" s="208"/>
      <c r="H41" s="208"/>
      <c r="I41" s="209"/>
    </row>
    <row r="42" spans="1:9" ht="39.6" x14ac:dyDescent="0.25">
      <c r="A42" s="205">
        <v>10</v>
      </c>
      <c r="B42" s="206" t="s">
        <v>315</v>
      </c>
      <c r="C42" s="207">
        <f t="shared" si="7"/>
        <v>35</v>
      </c>
      <c r="D42" s="176">
        <v>35</v>
      </c>
      <c r="E42" s="176"/>
      <c r="F42" s="208"/>
      <c r="G42" s="208"/>
      <c r="H42" s="208"/>
      <c r="I42" s="209"/>
    </row>
    <row r="43" spans="1:9" ht="26.4" x14ac:dyDescent="0.25">
      <c r="A43" s="205">
        <v>11</v>
      </c>
      <c r="B43" s="206" t="s">
        <v>316</v>
      </c>
      <c r="C43" s="207">
        <f t="shared" si="7"/>
        <v>5</v>
      </c>
      <c r="D43" s="176">
        <v>5</v>
      </c>
      <c r="E43" s="176"/>
      <c r="F43" s="208"/>
      <c r="G43" s="208"/>
      <c r="H43" s="208"/>
      <c r="I43" s="209"/>
    </row>
    <row r="44" spans="1:9" ht="26.4" x14ac:dyDescent="0.25">
      <c r="A44" s="205">
        <v>12</v>
      </c>
      <c r="B44" s="206" t="s">
        <v>317</v>
      </c>
      <c r="C44" s="207">
        <f t="shared" si="7"/>
        <v>78</v>
      </c>
      <c r="D44" s="176">
        <v>78</v>
      </c>
      <c r="E44" s="210"/>
      <c r="F44" s="210"/>
      <c r="G44" s="210"/>
      <c r="H44" s="210"/>
      <c r="I44" s="211"/>
    </row>
    <row r="45" spans="1:9" ht="13.8" thickBot="1" x14ac:dyDescent="0.3">
      <c r="A45" s="212">
        <v>13</v>
      </c>
      <c r="B45" s="213" t="s">
        <v>318</v>
      </c>
      <c r="C45" s="214">
        <f t="shared" si="7"/>
        <v>218.64</v>
      </c>
      <c r="D45" s="215">
        <v>218.64</v>
      </c>
      <c r="E45" s="215"/>
      <c r="F45" s="215"/>
      <c r="G45" s="215"/>
      <c r="H45" s="215"/>
      <c r="I45" s="216"/>
    </row>
    <row r="46" spans="1:9" ht="13.8" thickBot="1" x14ac:dyDescent="0.3">
      <c r="A46" s="217" t="s">
        <v>272</v>
      </c>
      <c r="B46" s="218" t="s">
        <v>273</v>
      </c>
      <c r="C46" s="219">
        <f>SUM(C47:C58)</f>
        <v>6000</v>
      </c>
      <c r="D46" s="219">
        <f>SUM(D47:D58)</f>
        <v>6000</v>
      </c>
      <c r="E46" s="219">
        <f>SUM(E47:E58)</f>
        <v>0</v>
      </c>
      <c r="F46" s="219">
        <f>SUM(F47:F58)</f>
        <v>0</v>
      </c>
      <c r="G46" s="219">
        <f>SUM(G47:G58)</f>
        <v>0</v>
      </c>
      <c r="H46" s="219"/>
      <c r="I46" s="220">
        <f>SUM(I47:I58)</f>
        <v>0</v>
      </c>
    </row>
    <row r="47" spans="1:9" ht="26.4" x14ac:dyDescent="0.25">
      <c r="A47" s="199">
        <v>1</v>
      </c>
      <c r="B47" s="221" t="s">
        <v>319</v>
      </c>
      <c r="C47" s="201">
        <f t="shared" si="7"/>
        <v>150</v>
      </c>
      <c r="D47" s="202">
        <v>150</v>
      </c>
      <c r="E47" s="201"/>
      <c r="F47" s="201"/>
      <c r="G47" s="201"/>
      <c r="H47" s="201"/>
      <c r="I47" s="222"/>
    </row>
    <row r="48" spans="1:9" ht="39.6" x14ac:dyDescent="0.25">
      <c r="A48" s="205">
        <v>2</v>
      </c>
      <c r="B48" s="223" t="s">
        <v>320</v>
      </c>
      <c r="C48" s="207">
        <f t="shared" si="7"/>
        <v>300</v>
      </c>
      <c r="D48" s="176">
        <v>300</v>
      </c>
      <c r="E48" s="207"/>
      <c r="F48" s="207"/>
      <c r="G48" s="207"/>
      <c r="H48" s="207"/>
      <c r="I48" s="224"/>
    </row>
    <row r="49" spans="1:9" ht="26.4" x14ac:dyDescent="0.25">
      <c r="A49" s="205">
        <v>3</v>
      </c>
      <c r="B49" s="225" t="s">
        <v>321</v>
      </c>
      <c r="C49" s="207">
        <f t="shared" si="7"/>
        <v>120</v>
      </c>
      <c r="D49" s="176">
        <v>120</v>
      </c>
      <c r="E49" s="207"/>
      <c r="F49" s="207"/>
      <c r="G49" s="207"/>
      <c r="H49" s="207"/>
      <c r="I49" s="224"/>
    </row>
    <row r="50" spans="1:9" ht="43.2" x14ac:dyDescent="0.25">
      <c r="A50" s="205">
        <v>4</v>
      </c>
      <c r="B50" s="226" t="s">
        <v>322</v>
      </c>
      <c r="C50" s="207">
        <f t="shared" si="7"/>
        <v>60</v>
      </c>
      <c r="D50" s="176">
        <v>60</v>
      </c>
      <c r="E50" s="207"/>
      <c r="F50" s="207"/>
      <c r="G50" s="207"/>
      <c r="H50" s="207"/>
      <c r="I50" s="224"/>
    </row>
    <row r="51" spans="1:9" x14ac:dyDescent="0.25">
      <c r="A51" s="205">
        <v>5</v>
      </c>
      <c r="B51" s="223" t="s">
        <v>323</v>
      </c>
      <c r="C51" s="207">
        <f t="shared" si="7"/>
        <v>2100</v>
      </c>
      <c r="D51" s="176">
        <v>2100</v>
      </c>
      <c r="E51" s="207"/>
      <c r="F51" s="207"/>
      <c r="G51" s="207"/>
      <c r="H51" s="207"/>
      <c r="I51" s="224"/>
    </row>
    <row r="52" spans="1:9" ht="26.4" x14ac:dyDescent="0.25">
      <c r="A52" s="205">
        <v>6</v>
      </c>
      <c r="B52" s="119" t="s">
        <v>324</v>
      </c>
      <c r="C52" s="207">
        <f t="shared" si="7"/>
        <v>225</v>
      </c>
      <c r="D52" s="176">
        <v>225</v>
      </c>
      <c r="E52" s="207"/>
      <c r="F52" s="207"/>
      <c r="G52" s="207"/>
      <c r="H52" s="207"/>
      <c r="I52" s="224"/>
    </row>
    <row r="53" spans="1:9" ht="39.6" x14ac:dyDescent="0.25">
      <c r="A53" s="205">
        <v>7</v>
      </c>
      <c r="B53" s="119" t="s">
        <v>325</v>
      </c>
      <c r="C53" s="207">
        <f t="shared" si="7"/>
        <v>600</v>
      </c>
      <c r="D53" s="176">
        <v>600</v>
      </c>
      <c r="E53" s="207"/>
      <c r="F53" s="207"/>
      <c r="G53" s="207"/>
      <c r="H53" s="207"/>
      <c r="I53" s="224"/>
    </row>
    <row r="54" spans="1:9" ht="26.4" x14ac:dyDescent="0.25">
      <c r="A54" s="205">
        <v>8</v>
      </c>
      <c r="B54" s="227" t="s">
        <v>326</v>
      </c>
      <c r="C54" s="207">
        <f t="shared" si="7"/>
        <v>95</v>
      </c>
      <c r="D54" s="176">
        <v>95</v>
      </c>
      <c r="E54" s="207"/>
      <c r="F54" s="207"/>
      <c r="G54" s="207"/>
      <c r="H54" s="207"/>
      <c r="I54" s="224"/>
    </row>
    <row r="55" spans="1:9" ht="39.6" x14ac:dyDescent="0.25">
      <c r="A55" s="205">
        <v>9</v>
      </c>
      <c r="B55" s="225" t="s">
        <v>327</v>
      </c>
      <c r="C55" s="207">
        <f t="shared" si="7"/>
        <v>0</v>
      </c>
      <c r="D55" s="176"/>
      <c r="E55" s="207"/>
      <c r="F55" s="207"/>
      <c r="G55" s="207"/>
      <c r="H55" s="207"/>
      <c r="I55" s="224"/>
    </row>
    <row r="56" spans="1:9" ht="66" x14ac:dyDescent="0.25">
      <c r="A56" s="205">
        <v>10</v>
      </c>
      <c r="B56" s="227" t="s">
        <v>328</v>
      </c>
      <c r="C56" s="207">
        <f t="shared" si="7"/>
        <v>500</v>
      </c>
      <c r="D56" s="176">
        <v>500</v>
      </c>
      <c r="E56" s="207"/>
      <c r="F56" s="207"/>
      <c r="G56" s="207"/>
      <c r="H56" s="207"/>
      <c r="I56" s="224"/>
    </row>
    <row r="57" spans="1:9" ht="39.6" x14ac:dyDescent="0.25">
      <c r="A57" s="205">
        <v>11</v>
      </c>
      <c r="B57" s="227" t="s">
        <v>329</v>
      </c>
      <c r="C57" s="207">
        <f t="shared" si="7"/>
        <v>150</v>
      </c>
      <c r="D57" s="176">
        <v>150</v>
      </c>
      <c r="E57" s="207"/>
      <c r="F57" s="207"/>
      <c r="G57" s="207"/>
      <c r="H57" s="207"/>
      <c r="I57" s="224"/>
    </row>
    <row r="58" spans="1:9" ht="66.599999999999994" thickBot="1" x14ac:dyDescent="0.3">
      <c r="A58" s="212">
        <v>12</v>
      </c>
      <c r="B58" s="228" t="s">
        <v>330</v>
      </c>
      <c r="C58" s="214">
        <f t="shared" si="7"/>
        <v>1700</v>
      </c>
      <c r="D58" s="229">
        <v>1700</v>
      </c>
      <c r="E58" s="214"/>
      <c r="F58" s="214"/>
      <c r="G58" s="214"/>
      <c r="H58" s="214"/>
      <c r="I58" s="230"/>
    </row>
    <row r="59" spans="1:9" ht="13.8" thickBot="1" x14ac:dyDescent="0.3">
      <c r="A59" s="231" t="s">
        <v>274</v>
      </c>
      <c r="B59" s="232" t="s">
        <v>275</v>
      </c>
      <c r="C59" s="233">
        <f t="shared" ref="C59:I59" si="8">SUM(C60:C65)</f>
        <v>680.94</v>
      </c>
      <c r="D59" s="233">
        <f t="shared" si="8"/>
        <v>680.94</v>
      </c>
      <c r="E59" s="233">
        <f t="shared" si="8"/>
        <v>0</v>
      </c>
      <c r="F59" s="233">
        <f t="shared" si="8"/>
        <v>0</v>
      </c>
      <c r="G59" s="233">
        <f t="shared" si="8"/>
        <v>0</v>
      </c>
      <c r="H59" s="233">
        <f t="shared" si="8"/>
        <v>0</v>
      </c>
      <c r="I59" s="234">
        <f t="shared" si="8"/>
        <v>0</v>
      </c>
    </row>
    <row r="60" spans="1:9" ht="39.6" x14ac:dyDescent="0.25">
      <c r="A60" s="235">
        <v>1</v>
      </c>
      <c r="B60" s="236" t="s">
        <v>331</v>
      </c>
      <c r="C60" s="237">
        <f t="shared" si="7"/>
        <v>137.94</v>
      </c>
      <c r="D60" s="238">
        <v>137.94</v>
      </c>
      <c r="E60" s="239"/>
      <c r="F60" s="239"/>
      <c r="G60" s="239"/>
      <c r="H60" s="240"/>
      <c r="I60" s="241"/>
    </row>
    <row r="61" spans="1:9" x14ac:dyDescent="0.25">
      <c r="A61" s="242">
        <v>2</v>
      </c>
      <c r="B61" s="243" t="s">
        <v>332</v>
      </c>
      <c r="C61" s="244">
        <f t="shared" si="7"/>
        <v>90</v>
      </c>
      <c r="D61" s="245">
        <v>90</v>
      </c>
      <c r="E61" s="246"/>
      <c r="F61" s="247"/>
      <c r="G61" s="247"/>
      <c r="H61" s="248"/>
      <c r="I61" s="249"/>
    </row>
    <row r="62" spans="1:9" x14ac:dyDescent="0.25">
      <c r="A62" s="242">
        <v>3</v>
      </c>
      <c r="B62" s="243" t="s">
        <v>333</v>
      </c>
      <c r="C62" s="244">
        <f t="shared" si="7"/>
        <v>181.5</v>
      </c>
      <c r="D62" s="246">
        <v>181.5</v>
      </c>
      <c r="E62" s="210"/>
      <c r="F62" s="210"/>
      <c r="G62" s="210"/>
      <c r="H62" s="250"/>
      <c r="I62" s="211"/>
    </row>
    <row r="63" spans="1:9" ht="39.6" x14ac:dyDescent="0.25">
      <c r="A63" s="242">
        <v>4</v>
      </c>
      <c r="B63" s="243" t="s">
        <v>334</v>
      </c>
      <c r="C63" s="244">
        <f t="shared" si="7"/>
        <v>181.5</v>
      </c>
      <c r="D63" s="245">
        <v>181.5</v>
      </c>
      <c r="E63" s="246"/>
      <c r="F63" s="247"/>
      <c r="G63" s="247"/>
      <c r="H63" s="248"/>
      <c r="I63" s="249"/>
    </row>
    <row r="64" spans="1:9" x14ac:dyDescent="0.25">
      <c r="A64" s="242">
        <v>5</v>
      </c>
      <c r="B64" s="243" t="s">
        <v>335</v>
      </c>
      <c r="C64" s="244">
        <f t="shared" si="7"/>
        <v>50</v>
      </c>
      <c r="D64" s="245">
        <v>50</v>
      </c>
      <c r="E64" s="246"/>
      <c r="F64" s="247"/>
      <c r="G64" s="247"/>
      <c r="H64" s="248"/>
      <c r="I64" s="249"/>
    </row>
    <row r="65" spans="1:9" ht="13.8" thickBot="1" x14ac:dyDescent="0.3">
      <c r="A65" s="251">
        <v>6</v>
      </c>
      <c r="B65" s="252" t="s">
        <v>336</v>
      </c>
      <c r="C65" s="253">
        <f t="shared" si="7"/>
        <v>40</v>
      </c>
      <c r="D65" s="254">
        <v>40</v>
      </c>
      <c r="E65" s="255"/>
      <c r="F65" s="256"/>
      <c r="G65" s="256"/>
      <c r="H65" s="257"/>
      <c r="I65" s="258"/>
    </row>
    <row r="66" spans="1:9" ht="27" thickBot="1" x14ac:dyDescent="0.3">
      <c r="A66" s="259" t="s">
        <v>276</v>
      </c>
      <c r="B66" s="260" t="s">
        <v>337</v>
      </c>
      <c r="C66" s="261">
        <f t="shared" ref="C66:I66" si="9">SUM(C67:C86)</f>
        <v>649</v>
      </c>
      <c r="D66" s="261">
        <f t="shared" si="9"/>
        <v>649</v>
      </c>
      <c r="E66" s="261">
        <f t="shared" si="9"/>
        <v>0</v>
      </c>
      <c r="F66" s="261">
        <f t="shared" si="9"/>
        <v>0</v>
      </c>
      <c r="G66" s="261">
        <f t="shared" si="9"/>
        <v>0</v>
      </c>
      <c r="H66" s="261">
        <f t="shared" si="9"/>
        <v>0</v>
      </c>
      <c r="I66" s="262">
        <f t="shared" si="9"/>
        <v>0</v>
      </c>
    </row>
    <row r="67" spans="1:9" x14ac:dyDescent="0.25">
      <c r="A67" s="199">
        <v>1</v>
      </c>
      <c r="B67" s="221" t="s">
        <v>338</v>
      </c>
      <c r="C67" s="201">
        <f t="shared" si="7"/>
        <v>8</v>
      </c>
      <c r="D67" s="202">
        <v>8</v>
      </c>
      <c r="E67" s="202"/>
      <c r="F67" s="203"/>
      <c r="G67" s="203"/>
      <c r="H67" s="263"/>
      <c r="I67" s="204"/>
    </row>
    <row r="68" spans="1:9" x14ac:dyDescent="0.25">
      <c r="A68" s="264">
        <v>2</v>
      </c>
      <c r="B68" s="119" t="s">
        <v>339</v>
      </c>
      <c r="C68" s="175">
        <f t="shared" si="7"/>
        <v>7</v>
      </c>
      <c r="D68" s="176">
        <v>7</v>
      </c>
      <c r="E68" s="176"/>
      <c r="F68" s="208"/>
      <c r="G68" s="208"/>
      <c r="H68" s="265"/>
      <c r="I68" s="209"/>
    </row>
    <row r="69" spans="1:9" x14ac:dyDescent="0.25">
      <c r="A69" s="264">
        <v>3</v>
      </c>
      <c r="B69" s="119" t="s">
        <v>340</v>
      </c>
      <c r="C69" s="175">
        <f t="shared" si="7"/>
        <v>15</v>
      </c>
      <c r="D69" s="176">
        <v>15</v>
      </c>
      <c r="E69" s="176"/>
      <c r="F69" s="208"/>
      <c r="G69" s="208"/>
      <c r="H69" s="265"/>
      <c r="I69" s="209"/>
    </row>
    <row r="70" spans="1:9" ht="26.4" x14ac:dyDescent="0.25">
      <c r="A70" s="264">
        <v>4</v>
      </c>
      <c r="B70" s="119" t="s">
        <v>341</v>
      </c>
      <c r="C70" s="175">
        <f t="shared" si="7"/>
        <v>280</v>
      </c>
      <c r="D70" s="176">
        <v>280</v>
      </c>
      <c r="E70" s="176"/>
      <c r="F70" s="208"/>
      <c r="G70" s="208"/>
      <c r="H70" s="265"/>
      <c r="I70" s="209"/>
    </row>
    <row r="71" spans="1:9" ht="26.4" x14ac:dyDescent="0.25">
      <c r="A71" s="264">
        <v>5</v>
      </c>
      <c r="B71" s="119" t="s">
        <v>342</v>
      </c>
      <c r="C71" s="175">
        <f t="shared" si="7"/>
        <v>7</v>
      </c>
      <c r="D71" s="176">
        <v>7</v>
      </c>
      <c r="E71" s="176"/>
      <c r="F71" s="208"/>
      <c r="G71" s="208"/>
      <c r="H71" s="265"/>
      <c r="I71" s="209"/>
    </row>
    <row r="72" spans="1:9" x14ac:dyDescent="0.25">
      <c r="A72" s="264">
        <v>6</v>
      </c>
      <c r="B72" s="119" t="s">
        <v>343</v>
      </c>
      <c r="C72" s="175">
        <f t="shared" si="7"/>
        <v>5</v>
      </c>
      <c r="D72" s="176">
        <v>5</v>
      </c>
      <c r="E72" s="176"/>
      <c r="F72" s="208"/>
      <c r="G72" s="208"/>
      <c r="H72" s="265"/>
      <c r="I72" s="209"/>
    </row>
    <row r="73" spans="1:9" x14ac:dyDescent="0.25">
      <c r="A73" s="264">
        <v>7</v>
      </c>
      <c r="B73" s="119" t="s">
        <v>344</v>
      </c>
      <c r="C73" s="175">
        <f t="shared" si="7"/>
        <v>60</v>
      </c>
      <c r="D73" s="176">
        <v>60</v>
      </c>
      <c r="E73" s="176"/>
      <c r="F73" s="208"/>
      <c r="G73" s="208"/>
      <c r="H73" s="265"/>
      <c r="I73" s="209"/>
    </row>
    <row r="74" spans="1:9" x14ac:dyDescent="0.25">
      <c r="A74" s="264">
        <v>8</v>
      </c>
      <c r="B74" s="119" t="s">
        <v>345</v>
      </c>
      <c r="C74" s="175">
        <f t="shared" si="7"/>
        <v>6</v>
      </c>
      <c r="D74" s="176">
        <v>6</v>
      </c>
      <c r="E74" s="176"/>
      <c r="F74" s="208"/>
      <c r="G74" s="208"/>
      <c r="H74" s="265"/>
      <c r="I74" s="209"/>
    </row>
    <row r="75" spans="1:9" x14ac:dyDescent="0.25">
      <c r="A75" s="264">
        <v>9</v>
      </c>
      <c r="B75" s="119" t="s">
        <v>346</v>
      </c>
      <c r="C75" s="175">
        <f t="shared" si="7"/>
        <v>4</v>
      </c>
      <c r="D75" s="176">
        <v>4</v>
      </c>
      <c r="E75" s="176"/>
      <c r="F75" s="208"/>
      <c r="G75" s="208"/>
      <c r="H75" s="265"/>
      <c r="I75" s="209"/>
    </row>
    <row r="76" spans="1:9" x14ac:dyDescent="0.25">
      <c r="A76" s="264">
        <v>10</v>
      </c>
      <c r="B76" s="119" t="s">
        <v>347</v>
      </c>
      <c r="C76" s="175">
        <f t="shared" si="7"/>
        <v>5</v>
      </c>
      <c r="D76" s="176">
        <v>5</v>
      </c>
      <c r="E76" s="176"/>
      <c r="F76" s="208"/>
      <c r="G76" s="208"/>
      <c r="H76" s="265"/>
      <c r="I76" s="209"/>
    </row>
    <row r="77" spans="1:9" x14ac:dyDescent="0.25">
      <c r="A77" s="264">
        <v>11</v>
      </c>
      <c r="B77" s="119" t="s">
        <v>348</v>
      </c>
      <c r="C77" s="175">
        <f t="shared" si="7"/>
        <v>120</v>
      </c>
      <c r="D77" s="176">
        <v>120</v>
      </c>
      <c r="E77" s="176"/>
      <c r="F77" s="208"/>
      <c r="G77" s="208"/>
      <c r="H77" s="265"/>
      <c r="I77" s="209"/>
    </row>
    <row r="78" spans="1:9" x14ac:dyDescent="0.25">
      <c r="A78" s="264">
        <v>12</v>
      </c>
      <c r="B78" s="119" t="s">
        <v>349</v>
      </c>
      <c r="C78" s="175">
        <f t="shared" si="7"/>
        <v>4</v>
      </c>
      <c r="D78" s="176">
        <v>4</v>
      </c>
      <c r="E78" s="176"/>
      <c r="F78" s="208"/>
      <c r="G78" s="208"/>
      <c r="H78" s="265"/>
      <c r="I78" s="209"/>
    </row>
    <row r="79" spans="1:9" x14ac:dyDescent="0.25">
      <c r="A79" s="264">
        <v>13</v>
      </c>
      <c r="B79" s="119" t="s">
        <v>350</v>
      </c>
      <c r="C79" s="175">
        <f t="shared" si="7"/>
        <v>10</v>
      </c>
      <c r="D79" s="176">
        <v>10</v>
      </c>
      <c r="E79" s="176"/>
      <c r="F79" s="208"/>
      <c r="G79" s="208"/>
      <c r="H79" s="265"/>
      <c r="I79" s="209"/>
    </row>
    <row r="80" spans="1:9" ht="26.4" x14ac:dyDescent="0.25">
      <c r="A80" s="264">
        <v>14</v>
      </c>
      <c r="B80" s="119" t="s">
        <v>351</v>
      </c>
      <c r="C80" s="175">
        <f t="shared" si="7"/>
        <v>20</v>
      </c>
      <c r="D80" s="176">
        <v>20</v>
      </c>
      <c r="E80" s="176"/>
      <c r="F80" s="208"/>
      <c r="G80" s="208"/>
      <c r="H80" s="265"/>
      <c r="I80" s="209"/>
    </row>
    <row r="81" spans="1:9" x14ac:dyDescent="0.25">
      <c r="A81" s="264">
        <v>15</v>
      </c>
      <c r="B81" s="119" t="s">
        <v>352</v>
      </c>
      <c r="C81" s="175">
        <f t="shared" si="7"/>
        <v>30</v>
      </c>
      <c r="D81" s="176">
        <v>30</v>
      </c>
      <c r="E81" s="176"/>
      <c r="F81" s="208"/>
      <c r="G81" s="208"/>
      <c r="H81" s="265"/>
      <c r="I81" s="209"/>
    </row>
    <row r="82" spans="1:9" x14ac:dyDescent="0.25">
      <c r="A82" s="264">
        <v>16</v>
      </c>
      <c r="B82" s="119" t="s">
        <v>353</v>
      </c>
      <c r="C82" s="175">
        <f t="shared" si="7"/>
        <v>4</v>
      </c>
      <c r="D82" s="176">
        <v>4</v>
      </c>
      <c r="E82" s="176"/>
      <c r="F82" s="208"/>
      <c r="G82" s="208"/>
      <c r="H82" s="265"/>
      <c r="I82" s="209"/>
    </row>
    <row r="83" spans="1:9" x14ac:dyDescent="0.25">
      <c r="A83" s="264">
        <v>17</v>
      </c>
      <c r="B83" s="119" t="s">
        <v>354</v>
      </c>
      <c r="C83" s="175">
        <f t="shared" si="7"/>
        <v>15</v>
      </c>
      <c r="D83" s="176">
        <v>15</v>
      </c>
      <c r="E83" s="176"/>
      <c r="F83" s="208"/>
      <c r="G83" s="208"/>
      <c r="H83" s="265"/>
      <c r="I83" s="209"/>
    </row>
    <row r="84" spans="1:9" ht="26.4" x14ac:dyDescent="0.25">
      <c r="A84" s="264">
        <v>18</v>
      </c>
      <c r="B84" s="119" t="s">
        <v>355</v>
      </c>
      <c r="C84" s="175">
        <f t="shared" si="7"/>
        <v>15</v>
      </c>
      <c r="D84" s="176">
        <v>15</v>
      </c>
      <c r="E84" s="176"/>
      <c r="F84" s="208"/>
      <c r="G84" s="208"/>
      <c r="H84" s="265"/>
      <c r="I84" s="209"/>
    </row>
    <row r="85" spans="1:9" x14ac:dyDescent="0.25">
      <c r="A85" s="264">
        <v>19</v>
      </c>
      <c r="B85" s="119" t="s">
        <v>356</v>
      </c>
      <c r="C85" s="175">
        <f t="shared" si="7"/>
        <v>25</v>
      </c>
      <c r="D85" s="176">
        <v>25</v>
      </c>
      <c r="E85" s="176"/>
      <c r="F85" s="208"/>
      <c r="G85" s="208"/>
      <c r="H85" s="265"/>
      <c r="I85" s="209"/>
    </row>
    <row r="86" spans="1:9" ht="13.8" thickBot="1" x14ac:dyDescent="0.3">
      <c r="A86" s="266">
        <v>20</v>
      </c>
      <c r="B86" s="267" t="s">
        <v>357</v>
      </c>
      <c r="C86" s="233">
        <f t="shared" si="7"/>
        <v>9</v>
      </c>
      <c r="D86" s="229">
        <v>9</v>
      </c>
      <c r="E86" s="229"/>
      <c r="F86" s="268"/>
      <c r="G86" s="268"/>
      <c r="H86" s="269"/>
      <c r="I86" s="270"/>
    </row>
    <row r="87" spans="1:9" ht="13.8" thickBot="1" x14ac:dyDescent="0.3">
      <c r="A87" s="259" t="s">
        <v>277</v>
      </c>
      <c r="B87" s="260" t="s">
        <v>278</v>
      </c>
      <c r="C87" s="261">
        <f t="shared" ref="C87:I87" si="10">SUM(C88:C92)</f>
        <v>151</v>
      </c>
      <c r="D87" s="261">
        <f t="shared" si="10"/>
        <v>151</v>
      </c>
      <c r="E87" s="261">
        <f t="shared" si="10"/>
        <v>0</v>
      </c>
      <c r="F87" s="261">
        <f t="shared" si="10"/>
        <v>0</v>
      </c>
      <c r="G87" s="261">
        <f t="shared" si="10"/>
        <v>0</v>
      </c>
      <c r="H87" s="261">
        <f t="shared" si="10"/>
        <v>0</v>
      </c>
      <c r="I87" s="262">
        <f t="shared" si="10"/>
        <v>0</v>
      </c>
    </row>
    <row r="88" spans="1:9" ht="39.6" x14ac:dyDescent="0.25">
      <c r="A88" s="264">
        <v>1</v>
      </c>
      <c r="B88" s="206" t="s">
        <v>358</v>
      </c>
      <c r="C88" s="175">
        <f t="shared" si="7"/>
        <v>10</v>
      </c>
      <c r="D88" s="271">
        <v>10</v>
      </c>
      <c r="E88" s="176"/>
      <c r="F88" s="208"/>
      <c r="G88" s="208"/>
      <c r="H88" s="265"/>
      <c r="I88" s="209"/>
    </row>
    <row r="89" spans="1:9" x14ac:dyDescent="0.25">
      <c r="A89" s="264">
        <v>2</v>
      </c>
      <c r="B89" s="206" t="s">
        <v>359</v>
      </c>
      <c r="C89" s="175">
        <f t="shared" si="7"/>
        <v>24</v>
      </c>
      <c r="D89" s="271">
        <v>24</v>
      </c>
      <c r="E89" s="176"/>
      <c r="F89" s="208"/>
      <c r="G89" s="208"/>
      <c r="H89" s="265"/>
      <c r="I89" s="209"/>
    </row>
    <row r="90" spans="1:9" ht="26.4" x14ac:dyDescent="0.25">
      <c r="A90" s="264">
        <v>3</v>
      </c>
      <c r="B90" s="206" t="s">
        <v>360</v>
      </c>
      <c r="C90" s="175">
        <f t="shared" si="7"/>
        <v>100</v>
      </c>
      <c r="D90" s="271">
        <v>100</v>
      </c>
      <c r="E90" s="176"/>
      <c r="F90" s="208"/>
      <c r="G90" s="208"/>
      <c r="H90" s="265"/>
      <c r="I90" s="209"/>
    </row>
    <row r="91" spans="1:9" x14ac:dyDescent="0.25">
      <c r="A91" s="264">
        <v>4</v>
      </c>
      <c r="B91" s="206" t="s">
        <v>361</v>
      </c>
      <c r="C91" s="175">
        <f t="shared" si="7"/>
        <v>7</v>
      </c>
      <c r="D91" s="271">
        <v>7</v>
      </c>
      <c r="E91" s="176"/>
      <c r="F91" s="208"/>
      <c r="G91" s="208"/>
      <c r="H91" s="265"/>
      <c r="I91" s="209"/>
    </row>
    <row r="92" spans="1:9" ht="27" thickBot="1" x14ac:dyDescent="0.3">
      <c r="A92" s="266">
        <v>5</v>
      </c>
      <c r="B92" s="213" t="s">
        <v>362</v>
      </c>
      <c r="C92" s="233">
        <f t="shared" si="7"/>
        <v>10</v>
      </c>
      <c r="D92" s="272">
        <v>10</v>
      </c>
      <c r="E92" s="229"/>
      <c r="F92" s="268"/>
      <c r="G92" s="268"/>
      <c r="H92" s="269"/>
      <c r="I92" s="270"/>
    </row>
    <row r="93" spans="1:9" ht="13.8" thickBot="1" x14ac:dyDescent="0.3">
      <c r="A93" s="259" t="s">
        <v>279</v>
      </c>
      <c r="B93" s="273" t="s">
        <v>280</v>
      </c>
      <c r="C93" s="261">
        <f t="shared" ref="C93:I93" si="11">SUM(C94:C102)</f>
        <v>5643.2699999999995</v>
      </c>
      <c r="D93" s="261">
        <f t="shared" si="11"/>
        <v>5643.2699999999995</v>
      </c>
      <c r="E93" s="261">
        <f t="shared" si="11"/>
        <v>0</v>
      </c>
      <c r="F93" s="261">
        <f t="shared" si="11"/>
        <v>0</v>
      </c>
      <c r="G93" s="261">
        <f t="shared" si="11"/>
        <v>0</v>
      </c>
      <c r="H93" s="261">
        <f t="shared" si="11"/>
        <v>0</v>
      </c>
      <c r="I93" s="262">
        <f t="shared" si="11"/>
        <v>0</v>
      </c>
    </row>
    <row r="94" spans="1:9" ht="26.4" x14ac:dyDescent="0.25">
      <c r="A94" s="264">
        <v>1</v>
      </c>
      <c r="B94" s="274" t="s">
        <v>363</v>
      </c>
      <c r="C94" s="175">
        <f t="shared" ref="C94:C102" si="12">SUM(D94:I94)</f>
        <v>100</v>
      </c>
      <c r="D94" s="271">
        <v>100</v>
      </c>
      <c r="E94" s="271"/>
      <c r="F94" s="275"/>
      <c r="G94" s="275"/>
      <c r="H94" s="276"/>
      <c r="I94" s="277"/>
    </row>
    <row r="95" spans="1:9" ht="66" x14ac:dyDescent="0.25">
      <c r="A95" s="264">
        <v>2</v>
      </c>
      <c r="B95" s="274" t="s">
        <v>364</v>
      </c>
      <c r="C95" s="175">
        <f t="shared" si="12"/>
        <v>4290.05</v>
      </c>
      <c r="D95" s="271">
        <v>4290.05</v>
      </c>
      <c r="E95" s="271"/>
      <c r="F95" s="275"/>
      <c r="G95" s="275"/>
      <c r="H95" s="276"/>
      <c r="I95" s="277"/>
    </row>
    <row r="96" spans="1:9" ht="52.8" x14ac:dyDescent="0.25">
      <c r="A96" s="264">
        <v>3</v>
      </c>
      <c r="B96" s="274" t="s">
        <v>365</v>
      </c>
      <c r="C96" s="175">
        <f t="shared" si="12"/>
        <v>81.069999999999993</v>
      </c>
      <c r="D96" s="271">
        <v>81.069999999999993</v>
      </c>
      <c r="E96" s="271"/>
      <c r="F96" s="275"/>
      <c r="G96" s="275"/>
      <c r="H96" s="276"/>
      <c r="I96" s="277"/>
    </row>
    <row r="97" spans="1:9" ht="66" x14ac:dyDescent="0.25">
      <c r="A97" s="264">
        <v>4</v>
      </c>
      <c r="B97" s="274" t="s">
        <v>366</v>
      </c>
      <c r="C97" s="175">
        <f t="shared" si="12"/>
        <v>157.9</v>
      </c>
      <c r="D97" s="271">
        <v>157.9</v>
      </c>
      <c r="E97" s="271"/>
      <c r="F97" s="275"/>
      <c r="G97" s="275"/>
      <c r="H97" s="276"/>
      <c r="I97" s="277"/>
    </row>
    <row r="98" spans="1:9" ht="39.6" x14ac:dyDescent="0.25">
      <c r="A98" s="264">
        <v>5</v>
      </c>
      <c r="B98" s="274" t="s">
        <v>367</v>
      </c>
      <c r="C98" s="175">
        <f t="shared" si="12"/>
        <v>181.5</v>
      </c>
      <c r="D98" s="271">
        <v>181.5</v>
      </c>
      <c r="E98" s="271"/>
      <c r="F98" s="275"/>
      <c r="G98" s="275"/>
      <c r="H98" s="276"/>
      <c r="I98" s="277"/>
    </row>
    <row r="99" spans="1:9" ht="39.6" x14ac:dyDescent="0.25">
      <c r="A99" s="264">
        <v>6</v>
      </c>
      <c r="B99" s="274" t="s">
        <v>368</v>
      </c>
      <c r="C99" s="175">
        <f t="shared" si="12"/>
        <v>181.5</v>
      </c>
      <c r="D99" s="271">
        <v>181.5</v>
      </c>
      <c r="E99" s="271"/>
      <c r="F99" s="275"/>
      <c r="G99" s="275"/>
      <c r="H99" s="276"/>
      <c r="I99" s="277"/>
    </row>
    <row r="100" spans="1:9" ht="39.6" x14ac:dyDescent="0.25">
      <c r="A100" s="264">
        <v>7</v>
      </c>
      <c r="B100" s="274" t="s">
        <v>369</v>
      </c>
      <c r="C100" s="175">
        <f t="shared" si="12"/>
        <v>326.7</v>
      </c>
      <c r="D100" s="271">
        <v>326.7</v>
      </c>
      <c r="E100" s="271"/>
      <c r="F100" s="275"/>
      <c r="G100" s="275"/>
      <c r="H100" s="276"/>
      <c r="I100" s="277"/>
    </row>
    <row r="101" spans="1:9" ht="39.6" x14ac:dyDescent="0.25">
      <c r="A101" s="264">
        <v>8</v>
      </c>
      <c r="B101" s="274" t="s">
        <v>370</v>
      </c>
      <c r="C101" s="175">
        <f t="shared" si="12"/>
        <v>248.05</v>
      </c>
      <c r="D101" s="271">
        <v>248.05</v>
      </c>
      <c r="E101" s="271"/>
      <c r="F101" s="275"/>
      <c r="G101" s="275"/>
      <c r="H101" s="276"/>
      <c r="I101" s="277"/>
    </row>
    <row r="102" spans="1:9" ht="40.200000000000003" thickBot="1" x14ac:dyDescent="0.3">
      <c r="A102" s="264">
        <v>9</v>
      </c>
      <c r="B102" s="206" t="s">
        <v>371</v>
      </c>
      <c r="C102" s="175">
        <f t="shared" si="12"/>
        <v>76.5</v>
      </c>
      <c r="D102" s="176">
        <v>76.5</v>
      </c>
      <c r="E102" s="176"/>
      <c r="F102" s="208"/>
      <c r="G102" s="208"/>
      <c r="H102" s="265"/>
      <c r="I102" s="209"/>
    </row>
    <row r="103" spans="1:9" ht="13.8" thickBot="1" x14ac:dyDescent="0.3">
      <c r="A103" s="259" t="s">
        <v>281</v>
      </c>
      <c r="B103" s="273" t="s">
        <v>282</v>
      </c>
      <c r="C103" s="261">
        <f t="shared" ref="C103:I103" si="13">SUM(C104:C105)</f>
        <v>1117.68</v>
      </c>
      <c r="D103" s="261">
        <f t="shared" si="13"/>
        <v>1117.68</v>
      </c>
      <c r="E103" s="261">
        <f t="shared" si="13"/>
        <v>0</v>
      </c>
      <c r="F103" s="261">
        <f t="shared" si="13"/>
        <v>0</v>
      </c>
      <c r="G103" s="261">
        <f t="shared" si="13"/>
        <v>0</v>
      </c>
      <c r="H103" s="261">
        <f t="shared" si="13"/>
        <v>0</v>
      </c>
      <c r="I103" s="262">
        <f t="shared" si="13"/>
        <v>0</v>
      </c>
    </row>
    <row r="104" spans="1:9" ht="79.2" x14ac:dyDescent="0.25">
      <c r="A104" s="199">
        <v>1</v>
      </c>
      <c r="B104" s="200" t="s">
        <v>372</v>
      </c>
      <c r="C104" s="201">
        <f t="shared" ref="C104:C105" si="14">SUM(D104:I104)</f>
        <v>33.71</v>
      </c>
      <c r="D104" s="278">
        <v>33.71</v>
      </c>
      <c r="E104" s="202"/>
      <c r="F104" s="201"/>
      <c r="G104" s="201"/>
      <c r="H104" s="201"/>
      <c r="I104" s="222"/>
    </row>
    <row r="105" spans="1:9" ht="53.4" thickBot="1" x14ac:dyDescent="0.3">
      <c r="A105" s="212">
        <v>2</v>
      </c>
      <c r="B105" s="213" t="s">
        <v>373</v>
      </c>
      <c r="C105" s="214">
        <f t="shared" si="14"/>
        <v>1083.97</v>
      </c>
      <c r="D105" s="279">
        <v>1083.97</v>
      </c>
      <c r="E105" s="229"/>
      <c r="F105" s="214"/>
      <c r="G105" s="214"/>
      <c r="H105" s="214"/>
      <c r="I105" s="230"/>
    </row>
    <row r="106" spans="1:9" ht="13.8" thickBot="1" x14ac:dyDescent="0.3">
      <c r="A106" s="217" t="s">
        <v>283</v>
      </c>
      <c r="B106" s="280" t="s">
        <v>284</v>
      </c>
      <c r="C106" s="219">
        <f t="shared" ref="C106:I106" si="15">SUM(C107:C139)</f>
        <v>31827</v>
      </c>
      <c r="D106" s="219">
        <f t="shared" si="15"/>
        <v>0</v>
      </c>
      <c r="E106" s="219">
        <f t="shared" si="15"/>
        <v>0</v>
      </c>
      <c r="F106" s="219">
        <f t="shared" si="15"/>
        <v>0</v>
      </c>
      <c r="G106" s="219">
        <f t="shared" si="15"/>
        <v>0</v>
      </c>
      <c r="H106" s="219">
        <f t="shared" si="15"/>
        <v>31827</v>
      </c>
      <c r="I106" s="220">
        <f t="shared" si="15"/>
        <v>0</v>
      </c>
    </row>
    <row r="107" spans="1:9" ht="39.6" x14ac:dyDescent="0.25">
      <c r="A107" s="281">
        <v>1</v>
      </c>
      <c r="B107" s="282" t="s">
        <v>374</v>
      </c>
      <c r="C107" s="237">
        <f t="shared" ref="C107:C139" si="16">SUM(D107:I107)</f>
        <v>50</v>
      </c>
      <c r="D107" s="238"/>
      <c r="E107" s="237"/>
      <c r="F107" s="237"/>
      <c r="G107" s="237"/>
      <c r="H107" s="238">
        <v>50</v>
      </c>
      <c r="I107" s="283"/>
    </row>
    <row r="108" spans="1:9" ht="52.8" x14ac:dyDescent="0.25">
      <c r="A108" s="284">
        <v>2</v>
      </c>
      <c r="B108" s="285" t="s">
        <v>375</v>
      </c>
      <c r="C108" s="286">
        <f t="shared" si="16"/>
        <v>195</v>
      </c>
      <c r="D108" s="246"/>
      <c r="E108" s="287"/>
      <c r="F108" s="287"/>
      <c r="G108" s="287"/>
      <c r="H108" s="246">
        <v>195</v>
      </c>
      <c r="I108" s="288"/>
    </row>
    <row r="109" spans="1:9" ht="39.6" x14ac:dyDescent="0.25">
      <c r="A109" s="284">
        <v>3</v>
      </c>
      <c r="B109" s="285" t="s">
        <v>376</v>
      </c>
      <c r="C109" s="286">
        <f t="shared" si="16"/>
        <v>600</v>
      </c>
      <c r="D109" s="246"/>
      <c r="E109" s="287"/>
      <c r="F109" s="287"/>
      <c r="G109" s="287"/>
      <c r="H109" s="289">
        <v>600</v>
      </c>
      <c r="I109" s="288"/>
    </row>
    <row r="110" spans="1:9" ht="39.6" x14ac:dyDescent="0.25">
      <c r="A110" s="284">
        <v>4</v>
      </c>
      <c r="B110" s="290" t="s">
        <v>377</v>
      </c>
      <c r="C110" s="286">
        <f t="shared" si="16"/>
        <v>200</v>
      </c>
      <c r="D110" s="246"/>
      <c r="E110" s="287"/>
      <c r="F110" s="287"/>
      <c r="G110" s="287"/>
      <c r="H110" s="246">
        <v>200</v>
      </c>
      <c r="I110" s="288"/>
    </row>
    <row r="111" spans="1:9" ht="26.4" x14ac:dyDescent="0.25">
      <c r="A111" s="284">
        <v>5</v>
      </c>
      <c r="B111" s="285" t="s">
        <v>378</v>
      </c>
      <c r="C111" s="286">
        <f t="shared" si="16"/>
        <v>600</v>
      </c>
      <c r="D111" s="246"/>
      <c r="E111" s="287"/>
      <c r="F111" s="287"/>
      <c r="G111" s="287"/>
      <c r="H111" s="246">
        <v>600</v>
      </c>
      <c r="I111" s="288"/>
    </row>
    <row r="112" spans="1:9" ht="39.6" x14ac:dyDescent="0.25">
      <c r="A112" s="284">
        <v>6</v>
      </c>
      <c r="B112" s="290" t="s">
        <v>379</v>
      </c>
      <c r="C112" s="286">
        <f t="shared" si="16"/>
        <v>5</v>
      </c>
      <c r="D112" s="246"/>
      <c r="E112" s="287"/>
      <c r="F112" s="287"/>
      <c r="G112" s="287"/>
      <c r="H112" s="246">
        <v>5</v>
      </c>
      <c r="I112" s="288"/>
    </row>
    <row r="113" spans="1:9" ht="52.8" x14ac:dyDescent="0.25">
      <c r="A113" s="284">
        <v>7</v>
      </c>
      <c r="B113" s="290" t="s">
        <v>380</v>
      </c>
      <c r="C113" s="286">
        <f t="shared" si="16"/>
        <v>600</v>
      </c>
      <c r="D113" s="246"/>
      <c r="E113" s="287"/>
      <c r="F113" s="287"/>
      <c r="G113" s="287"/>
      <c r="H113" s="246">
        <v>600</v>
      </c>
      <c r="I113" s="288"/>
    </row>
    <row r="114" spans="1:9" ht="39.6" x14ac:dyDescent="0.25">
      <c r="A114" s="284">
        <v>8</v>
      </c>
      <c r="B114" s="290" t="s">
        <v>381</v>
      </c>
      <c r="C114" s="286">
        <f t="shared" si="16"/>
        <v>1100</v>
      </c>
      <c r="D114" s="246"/>
      <c r="E114" s="287"/>
      <c r="F114" s="287"/>
      <c r="G114" s="287"/>
      <c r="H114" s="246">
        <v>1100</v>
      </c>
      <c r="I114" s="288"/>
    </row>
    <row r="115" spans="1:9" ht="39.6" x14ac:dyDescent="0.25">
      <c r="A115" s="284">
        <v>9</v>
      </c>
      <c r="B115" s="285" t="s">
        <v>382</v>
      </c>
      <c r="C115" s="286">
        <f t="shared" si="16"/>
        <v>8</v>
      </c>
      <c r="D115" s="246"/>
      <c r="E115" s="287"/>
      <c r="F115" s="287"/>
      <c r="G115" s="287"/>
      <c r="H115" s="246">
        <v>8</v>
      </c>
      <c r="I115" s="288"/>
    </row>
    <row r="116" spans="1:9" x14ac:dyDescent="0.25">
      <c r="A116" s="284">
        <v>10</v>
      </c>
      <c r="B116" s="290" t="s">
        <v>383</v>
      </c>
      <c r="C116" s="286">
        <f t="shared" si="16"/>
        <v>10</v>
      </c>
      <c r="D116" s="246"/>
      <c r="E116" s="287"/>
      <c r="F116" s="210"/>
      <c r="G116" s="287"/>
      <c r="H116" s="246">
        <v>10</v>
      </c>
      <c r="I116" s="288"/>
    </row>
    <row r="117" spans="1:9" ht="26.4" x14ac:dyDescent="0.25">
      <c r="A117" s="284">
        <v>11</v>
      </c>
      <c r="B117" s="285" t="s">
        <v>384</v>
      </c>
      <c r="C117" s="286">
        <f t="shared" si="16"/>
        <v>6</v>
      </c>
      <c r="D117" s="246"/>
      <c r="E117" s="287"/>
      <c r="F117" s="287"/>
      <c r="G117" s="287"/>
      <c r="H117" s="246">
        <v>6</v>
      </c>
      <c r="I117" s="288"/>
    </row>
    <row r="118" spans="1:9" ht="39.6" x14ac:dyDescent="0.25">
      <c r="A118" s="284">
        <v>12</v>
      </c>
      <c r="B118" s="290" t="s">
        <v>385</v>
      </c>
      <c r="C118" s="286">
        <f t="shared" si="16"/>
        <v>400</v>
      </c>
      <c r="D118" s="246"/>
      <c r="E118" s="287"/>
      <c r="F118" s="287"/>
      <c r="G118" s="287"/>
      <c r="H118" s="287">
        <v>400</v>
      </c>
      <c r="I118" s="288"/>
    </row>
    <row r="119" spans="1:9" ht="52.8" x14ac:dyDescent="0.25">
      <c r="A119" s="284">
        <v>13</v>
      </c>
      <c r="B119" s="290" t="s">
        <v>386</v>
      </c>
      <c r="C119" s="286">
        <f t="shared" si="16"/>
        <v>73</v>
      </c>
      <c r="D119" s="246"/>
      <c r="E119" s="287"/>
      <c r="F119" s="287"/>
      <c r="G119" s="287"/>
      <c r="H119" s="246">
        <v>73</v>
      </c>
      <c r="I119" s="288"/>
    </row>
    <row r="120" spans="1:9" ht="39.6" x14ac:dyDescent="0.25">
      <c r="A120" s="284">
        <v>14</v>
      </c>
      <c r="B120" s="291" t="s">
        <v>387</v>
      </c>
      <c r="C120" s="286">
        <f t="shared" si="16"/>
        <v>146</v>
      </c>
      <c r="D120" s="246"/>
      <c r="E120" s="287"/>
      <c r="F120" s="287"/>
      <c r="G120" s="287"/>
      <c r="H120" s="246">
        <v>146</v>
      </c>
      <c r="I120" s="288"/>
    </row>
    <row r="121" spans="1:9" ht="39.6" x14ac:dyDescent="0.25">
      <c r="A121" s="284">
        <v>15</v>
      </c>
      <c r="B121" s="290" t="s">
        <v>388</v>
      </c>
      <c r="C121" s="286">
        <f t="shared" si="16"/>
        <v>700</v>
      </c>
      <c r="D121" s="246"/>
      <c r="E121" s="287"/>
      <c r="F121" s="287"/>
      <c r="G121" s="287"/>
      <c r="H121" s="246">
        <v>700</v>
      </c>
      <c r="I121" s="288"/>
    </row>
    <row r="122" spans="1:9" ht="52.8" x14ac:dyDescent="0.25">
      <c r="A122" s="284">
        <v>16</v>
      </c>
      <c r="B122" s="285" t="s">
        <v>389</v>
      </c>
      <c r="C122" s="286">
        <f t="shared" si="16"/>
        <v>235</v>
      </c>
      <c r="D122" s="246"/>
      <c r="E122" s="287"/>
      <c r="F122" s="287"/>
      <c r="G122" s="287"/>
      <c r="H122" s="246">
        <v>235</v>
      </c>
      <c r="I122" s="288"/>
    </row>
    <row r="123" spans="1:9" ht="52.8" x14ac:dyDescent="0.25">
      <c r="A123" s="284">
        <v>17</v>
      </c>
      <c r="B123" s="285" t="s">
        <v>390</v>
      </c>
      <c r="C123" s="286">
        <f t="shared" si="16"/>
        <v>10</v>
      </c>
      <c r="D123" s="246"/>
      <c r="E123" s="287"/>
      <c r="F123" s="287"/>
      <c r="G123" s="287"/>
      <c r="H123" s="246">
        <v>10</v>
      </c>
      <c r="I123" s="288"/>
    </row>
    <row r="124" spans="1:9" ht="39.6" x14ac:dyDescent="0.25">
      <c r="A124" s="284">
        <v>18</v>
      </c>
      <c r="B124" s="285" t="s">
        <v>391</v>
      </c>
      <c r="C124" s="286">
        <f t="shared" si="16"/>
        <v>255</v>
      </c>
      <c r="D124" s="246"/>
      <c r="E124" s="287"/>
      <c r="F124" s="287"/>
      <c r="G124" s="287"/>
      <c r="H124" s="246">
        <v>255</v>
      </c>
      <c r="I124" s="288"/>
    </row>
    <row r="125" spans="1:9" ht="39.6" x14ac:dyDescent="0.25">
      <c r="A125" s="284">
        <v>19</v>
      </c>
      <c r="B125" s="285" t="s">
        <v>392</v>
      </c>
      <c r="C125" s="286">
        <f t="shared" si="16"/>
        <v>240</v>
      </c>
      <c r="D125" s="246"/>
      <c r="E125" s="287"/>
      <c r="F125" s="287"/>
      <c r="G125" s="287"/>
      <c r="H125" s="246">
        <v>240</v>
      </c>
      <c r="I125" s="288"/>
    </row>
    <row r="126" spans="1:9" ht="39.6" x14ac:dyDescent="0.25">
      <c r="A126" s="284">
        <v>20</v>
      </c>
      <c r="B126" s="285" t="s">
        <v>393</v>
      </c>
      <c r="C126" s="286">
        <f t="shared" si="16"/>
        <v>20</v>
      </c>
      <c r="D126" s="246"/>
      <c r="E126" s="287"/>
      <c r="F126" s="287"/>
      <c r="G126" s="287"/>
      <c r="H126" s="246">
        <v>20</v>
      </c>
      <c r="I126" s="288"/>
    </row>
    <row r="127" spans="1:9" ht="39.6" x14ac:dyDescent="0.25">
      <c r="A127" s="284">
        <v>21</v>
      </c>
      <c r="B127" s="292" t="s">
        <v>394</v>
      </c>
      <c r="C127" s="286">
        <f t="shared" si="16"/>
        <v>1</v>
      </c>
      <c r="D127" s="246"/>
      <c r="E127" s="287"/>
      <c r="F127" s="287"/>
      <c r="G127" s="287"/>
      <c r="H127" s="246">
        <v>1</v>
      </c>
      <c r="I127" s="288"/>
    </row>
    <row r="128" spans="1:9" ht="52.8" x14ac:dyDescent="0.25">
      <c r="A128" s="284">
        <v>22</v>
      </c>
      <c r="B128" s="293" t="s">
        <v>395</v>
      </c>
      <c r="C128" s="286">
        <f t="shared" si="16"/>
        <v>4000</v>
      </c>
      <c r="D128" s="246"/>
      <c r="E128" s="287"/>
      <c r="F128" s="287"/>
      <c r="G128" s="287"/>
      <c r="H128" s="246">
        <v>4000</v>
      </c>
      <c r="I128" s="288"/>
    </row>
    <row r="129" spans="1:9" ht="26.4" x14ac:dyDescent="0.25">
      <c r="A129" s="284">
        <v>23</v>
      </c>
      <c r="B129" s="285" t="s">
        <v>396</v>
      </c>
      <c r="C129" s="286">
        <f t="shared" si="16"/>
        <v>242</v>
      </c>
      <c r="D129" s="246"/>
      <c r="E129" s="287"/>
      <c r="F129" s="210"/>
      <c r="G129" s="287"/>
      <c r="H129" s="246">
        <v>242</v>
      </c>
      <c r="I129" s="288"/>
    </row>
    <row r="130" spans="1:9" ht="66" x14ac:dyDescent="0.25">
      <c r="A130" s="284">
        <v>24</v>
      </c>
      <c r="B130" s="294" t="s">
        <v>397</v>
      </c>
      <c r="C130" s="286">
        <f t="shared" si="16"/>
        <v>1000</v>
      </c>
      <c r="D130" s="246"/>
      <c r="E130" s="287"/>
      <c r="F130" s="287"/>
      <c r="G130" s="287"/>
      <c r="H130" s="246">
        <v>1000</v>
      </c>
      <c r="I130" s="288"/>
    </row>
    <row r="131" spans="1:9" ht="26.4" x14ac:dyDescent="0.25">
      <c r="A131" s="284">
        <v>25</v>
      </c>
      <c r="B131" s="295" t="s">
        <v>398</v>
      </c>
      <c r="C131" s="286">
        <f t="shared" si="16"/>
        <v>10000</v>
      </c>
      <c r="D131" s="246"/>
      <c r="E131" s="287"/>
      <c r="F131" s="287"/>
      <c r="G131" s="287"/>
      <c r="H131" s="246">
        <v>10000</v>
      </c>
      <c r="I131" s="288"/>
    </row>
    <row r="132" spans="1:9" ht="66" x14ac:dyDescent="0.25">
      <c r="A132" s="284">
        <v>26</v>
      </c>
      <c r="B132" s="293" t="s">
        <v>399</v>
      </c>
      <c r="C132" s="286">
        <f t="shared" si="16"/>
        <v>20</v>
      </c>
      <c r="D132" s="246"/>
      <c r="E132" s="287"/>
      <c r="F132" s="287"/>
      <c r="G132" s="287"/>
      <c r="H132" s="246">
        <v>20</v>
      </c>
      <c r="I132" s="288"/>
    </row>
    <row r="133" spans="1:9" ht="52.8" x14ac:dyDescent="0.25">
      <c r="A133" s="284">
        <v>27</v>
      </c>
      <c r="B133" s="293" t="s">
        <v>400</v>
      </c>
      <c r="C133" s="286">
        <f t="shared" si="16"/>
        <v>20</v>
      </c>
      <c r="D133" s="246"/>
      <c r="E133" s="287"/>
      <c r="F133" s="287"/>
      <c r="G133" s="287"/>
      <c r="H133" s="246">
        <v>20</v>
      </c>
      <c r="I133" s="288"/>
    </row>
    <row r="134" spans="1:9" x14ac:dyDescent="0.25">
      <c r="A134" s="284">
        <v>28</v>
      </c>
      <c r="B134" s="296" t="s">
        <v>401</v>
      </c>
      <c r="C134" s="286">
        <f t="shared" si="16"/>
        <v>1318</v>
      </c>
      <c r="D134" s="246"/>
      <c r="E134" s="287"/>
      <c r="F134" s="287"/>
      <c r="G134" s="287"/>
      <c r="H134" s="246">
        <v>1318</v>
      </c>
      <c r="I134" s="288"/>
    </row>
    <row r="135" spans="1:9" ht="39.6" x14ac:dyDescent="0.25">
      <c r="A135" s="284">
        <v>29</v>
      </c>
      <c r="B135" s="297" t="s">
        <v>402</v>
      </c>
      <c r="C135" s="286">
        <f t="shared" si="16"/>
        <v>253</v>
      </c>
      <c r="D135" s="246"/>
      <c r="E135" s="287"/>
      <c r="F135" s="287"/>
      <c r="G135" s="287"/>
      <c r="H135" s="246">
        <v>253</v>
      </c>
      <c r="I135" s="288"/>
    </row>
    <row r="136" spans="1:9" ht="26.4" x14ac:dyDescent="0.25">
      <c r="A136" s="284">
        <v>30</v>
      </c>
      <c r="B136" s="297" t="s">
        <v>403</v>
      </c>
      <c r="C136" s="286">
        <f t="shared" si="16"/>
        <v>310</v>
      </c>
      <c r="D136" s="246"/>
      <c r="E136" s="287"/>
      <c r="F136" s="287"/>
      <c r="G136" s="287"/>
      <c r="H136" s="246">
        <v>310</v>
      </c>
      <c r="I136" s="288"/>
    </row>
    <row r="137" spans="1:9" ht="26.4" x14ac:dyDescent="0.25">
      <c r="A137" s="284">
        <v>31</v>
      </c>
      <c r="B137" s="298" t="s">
        <v>404</v>
      </c>
      <c r="C137" s="286">
        <f t="shared" si="16"/>
        <v>1350</v>
      </c>
      <c r="D137" s="246"/>
      <c r="E137" s="287"/>
      <c r="F137" s="287"/>
      <c r="G137" s="287"/>
      <c r="H137" s="246">
        <v>1350</v>
      </c>
      <c r="I137" s="288"/>
    </row>
    <row r="138" spans="1:9" ht="26.4" x14ac:dyDescent="0.25">
      <c r="A138" s="284">
        <v>32</v>
      </c>
      <c r="B138" s="298" t="s">
        <v>405</v>
      </c>
      <c r="C138" s="286">
        <f t="shared" si="16"/>
        <v>6410</v>
      </c>
      <c r="D138" s="246"/>
      <c r="E138" s="287"/>
      <c r="F138" s="287"/>
      <c r="G138" s="287"/>
      <c r="H138" s="246">
        <v>6410</v>
      </c>
      <c r="I138" s="288"/>
    </row>
    <row r="139" spans="1:9" ht="27" thickBot="1" x14ac:dyDescent="0.3">
      <c r="A139" s="299">
        <v>33</v>
      </c>
      <c r="B139" s="300" t="s">
        <v>406</v>
      </c>
      <c r="C139" s="301">
        <f t="shared" si="16"/>
        <v>1450</v>
      </c>
      <c r="D139" s="255"/>
      <c r="E139" s="302"/>
      <c r="F139" s="302"/>
      <c r="G139" s="302"/>
      <c r="H139" s="255">
        <v>1450</v>
      </c>
      <c r="I139" s="303"/>
    </row>
    <row r="140" spans="1:9" ht="13.8" thickBot="1" x14ac:dyDescent="0.3">
      <c r="A140" s="231" t="s">
        <v>285</v>
      </c>
      <c r="B140" s="304" t="s">
        <v>286</v>
      </c>
      <c r="C140" s="233">
        <f t="shared" ref="C140:I140" si="17">SUM(C141:C141)</f>
        <v>1821</v>
      </c>
      <c r="D140" s="233">
        <f t="shared" si="17"/>
        <v>1821</v>
      </c>
      <c r="E140" s="233">
        <f t="shared" si="17"/>
        <v>0</v>
      </c>
      <c r="F140" s="233">
        <f t="shared" si="17"/>
        <v>0</v>
      </c>
      <c r="G140" s="233">
        <f t="shared" si="17"/>
        <v>0</v>
      </c>
      <c r="H140" s="233">
        <f t="shared" si="17"/>
        <v>0</v>
      </c>
      <c r="I140" s="234">
        <f t="shared" si="17"/>
        <v>0</v>
      </c>
    </row>
    <row r="141" spans="1:9" ht="27" thickBot="1" x14ac:dyDescent="0.3">
      <c r="A141" s="199">
        <v>1</v>
      </c>
      <c r="B141" s="305" t="s">
        <v>407</v>
      </c>
      <c r="C141" s="207">
        <f>SUM(D141:I141)</f>
        <v>1821</v>
      </c>
      <c r="D141" s="202">
        <v>1821</v>
      </c>
      <c r="E141" s="239"/>
      <c r="F141" s="239"/>
      <c r="G141" s="239"/>
      <c r="H141" s="239"/>
      <c r="I141" s="241"/>
    </row>
    <row r="142" spans="1:9" ht="13.8" thickBot="1" x14ac:dyDescent="0.3">
      <c r="A142" s="259" t="s">
        <v>287</v>
      </c>
      <c r="B142" s="273" t="s">
        <v>408</v>
      </c>
      <c r="C142" s="261">
        <f t="shared" ref="C142:I142" si="18">SUM(C143:C143)</f>
        <v>1037</v>
      </c>
      <c r="D142" s="261">
        <f t="shared" si="18"/>
        <v>1037</v>
      </c>
      <c r="E142" s="261">
        <f t="shared" si="18"/>
        <v>0</v>
      </c>
      <c r="F142" s="261">
        <f t="shared" si="18"/>
        <v>0</v>
      </c>
      <c r="G142" s="261">
        <f t="shared" si="18"/>
        <v>0</v>
      </c>
      <c r="H142" s="261">
        <f t="shared" si="18"/>
        <v>0</v>
      </c>
      <c r="I142" s="262">
        <f t="shared" si="18"/>
        <v>0</v>
      </c>
    </row>
    <row r="143" spans="1:9" ht="13.8" thickBot="1" x14ac:dyDescent="0.3">
      <c r="A143" s="306">
        <v>1</v>
      </c>
      <c r="B143" s="307" t="s">
        <v>409</v>
      </c>
      <c r="C143" s="207">
        <f>SUM(D143:I143)</f>
        <v>1037</v>
      </c>
      <c r="D143" s="176">
        <v>1037</v>
      </c>
      <c r="E143" s="210"/>
      <c r="F143" s="210"/>
      <c r="G143" s="210"/>
      <c r="H143" s="210"/>
      <c r="I143" s="210"/>
    </row>
    <row r="144" spans="1:9" ht="13.8" thickBot="1" x14ac:dyDescent="0.3">
      <c r="A144" s="259" t="s">
        <v>289</v>
      </c>
      <c r="B144" s="273" t="s">
        <v>290</v>
      </c>
      <c r="C144" s="261">
        <f t="shared" ref="C144:I144" si="19">SUM(C145:C148)</f>
        <v>9499</v>
      </c>
      <c r="D144" s="261">
        <f t="shared" si="19"/>
        <v>9499</v>
      </c>
      <c r="E144" s="261">
        <f t="shared" si="19"/>
        <v>0</v>
      </c>
      <c r="F144" s="261">
        <f t="shared" si="19"/>
        <v>0</v>
      </c>
      <c r="G144" s="261">
        <f t="shared" si="19"/>
        <v>0</v>
      </c>
      <c r="H144" s="261">
        <f t="shared" si="19"/>
        <v>0</v>
      </c>
      <c r="I144" s="262">
        <f t="shared" si="19"/>
        <v>0</v>
      </c>
    </row>
    <row r="145" spans="1:9" ht="39.6" x14ac:dyDescent="0.25">
      <c r="A145" s="308">
        <v>1</v>
      </c>
      <c r="B145" s="309" t="s">
        <v>410</v>
      </c>
      <c r="C145" s="175">
        <f t="shared" ref="C145:C148" si="20">SUM(D145:I145)</f>
        <v>6000</v>
      </c>
      <c r="D145" s="271">
        <v>6000</v>
      </c>
      <c r="E145" s="310"/>
      <c r="F145" s="310"/>
      <c r="G145" s="310"/>
      <c r="H145" s="310"/>
      <c r="I145" s="310"/>
    </row>
    <row r="146" spans="1:9" ht="39.6" x14ac:dyDescent="0.25">
      <c r="A146" s="306">
        <v>2</v>
      </c>
      <c r="B146" s="309" t="s">
        <v>411</v>
      </c>
      <c r="C146" s="207">
        <f t="shared" si="20"/>
        <v>1960</v>
      </c>
      <c r="D146" s="176">
        <v>1960</v>
      </c>
      <c r="E146" s="210"/>
      <c r="F146" s="210"/>
      <c r="G146" s="210"/>
      <c r="H146" s="210"/>
      <c r="I146" s="210"/>
    </row>
    <row r="147" spans="1:9" ht="39.6" x14ac:dyDescent="0.25">
      <c r="A147" s="306">
        <v>3</v>
      </c>
      <c r="B147" s="309" t="s">
        <v>412</v>
      </c>
      <c r="C147" s="207">
        <f t="shared" si="20"/>
        <v>1089</v>
      </c>
      <c r="D147" s="176">
        <v>1089</v>
      </c>
      <c r="E147" s="207"/>
      <c r="F147" s="207"/>
      <c r="G147" s="207"/>
      <c r="H147" s="207"/>
      <c r="I147" s="207"/>
    </row>
    <row r="148" spans="1:9" ht="40.200000000000003" thickBot="1" x14ac:dyDescent="0.3">
      <c r="A148" s="306">
        <v>4</v>
      </c>
      <c r="B148" s="309" t="s">
        <v>413</v>
      </c>
      <c r="C148" s="207">
        <f t="shared" si="20"/>
        <v>450</v>
      </c>
      <c r="D148" s="176">
        <v>450</v>
      </c>
      <c r="E148" s="210"/>
      <c r="F148" s="210"/>
      <c r="G148" s="210"/>
      <c r="H148" s="210"/>
      <c r="I148" s="210"/>
    </row>
    <row r="149" spans="1:9" ht="13.8" thickBot="1" x14ac:dyDescent="0.3">
      <c r="A149" s="311" t="s">
        <v>291</v>
      </c>
      <c r="B149" s="312" t="s">
        <v>292</v>
      </c>
      <c r="C149" s="313">
        <f t="shared" ref="C149:I149" si="21">C150+C158+C195+C366</f>
        <v>141502.09</v>
      </c>
      <c r="D149" s="313">
        <f t="shared" si="21"/>
        <v>59912.68</v>
      </c>
      <c r="E149" s="313">
        <f t="shared" si="21"/>
        <v>0</v>
      </c>
      <c r="F149" s="313">
        <f t="shared" si="21"/>
        <v>81589.41</v>
      </c>
      <c r="G149" s="313">
        <f t="shared" si="21"/>
        <v>0</v>
      </c>
      <c r="H149" s="313">
        <f t="shared" si="21"/>
        <v>0</v>
      </c>
      <c r="I149" s="314">
        <f t="shared" si="21"/>
        <v>0</v>
      </c>
    </row>
    <row r="150" spans="1:9" x14ac:dyDescent="0.25">
      <c r="A150" s="199"/>
      <c r="B150" s="315" t="s">
        <v>414</v>
      </c>
      <c r="C150" s="201">
        <f t="shared" ref="C150:I150" si="22">SUM(C151:C157)</f>
        <v>8123.67</v>
      </c>
      <c r="D150" s="201">
        <f t="shared" si="22"/>
        <v>2123.67</v>
      </c>
      <c r="E150" s="201">
        <f t="shared" si="22"/>
        <v>0</v>
      </c>
      <c r="F150" s="201">
        <f t="shared" si="22"/>
        <v>6000</v>
      </c>
      <c r="G150" s="201">
        <f t="shared" si="22"/>
        <v>0</v>
      </c>
      <c r="H150" s="201">
        <f t="shared" si="22"/>
        <v>0</v>
      </c>
      <c r="I150" s="222">
        <f t="shared" si="22"/>
        <v>0</v>
      </c>
    </row>
    <row r="151" spans="1:9" ht="39.6" x14ac:dyDescent="0.25">
      <c r="A151" s="205">
        <v>1</v>
      </c>
      <c r="B151" s="316" t="s">
        <v>415</v>
      </c>
      <c r="C151" s="207">
        <f t="shared" ref="C151:C214" si="23">SUM(D151:I151)</f>
        <v>4000</v>
      </c>
      <c r="D151" s="176">
        <v>0</v>
      </c>
      <c r="E151" s="176"/>
      <c r="F151" s="170">
        <v>4000</v>
      </c>
      <c r="G151" s="317"/>
      <c r="H151" s="207"/>
      <c r="I151" s="165"/>
    </row>
    <row r="152" spans="1:9" ht="26.4" x14ac:dyDescent="0.25">
      <c r="A152" s="205">
        <v>2</v>
      </c>
      <c r="B152" s="316" t="s">
        <v>416</v>
      </c>
      <c r="C152" s="207">
        <f t="shared" si="23"/>
        <v>632.23</v>
      </c>
      <c r="D152" s="176">
        <v>632.23</v>
      </c>
      <c r="E152" s="176"/>
      <c r="F152" s="207"/>
      <c r="G152" s="207"/>
      <c r="H152" s="207"/>
      <c r="I152" s="165"/>
    </row>
    <row r="153" spans="1:9" ht="26.4" x14ac:dyDescent="0.25">
      <c r="A153" s="205">
        <v>3</v>
      </c>
      <c r="B153" s="316" t="s">
        <v>417</v>
      </c>
      <c r="C153" s="207">
        <f t="shared" si="23"/>
        <v>1000</v>
      </c>
      <c r="D153" s="176">
        <v>0</v>
      </c>
      <c r="E153" s="176"/>
      <c r="F153" s="170">
        <v>1000</v>
      </c>
      <c r="G153" s="317"/>
      <c r="H153" s="207"/>
      <c r="I153" s="165"/>
    </row>
    <row r="154" spans="1:9" ht="26.4" x14ac:dyDescent="0.25">
      <c r="A154" s="205">
        <v>4</v>
      </c>
      <c r="B154" s="316" t="s">
        <v>418</v>
      </c>
      <c r="C154" s="207">
        <f t="shared" si="23"/>
        <v>1158</v>
      </c>
      <c r="D154" s="176">
        <v>158</v>
      </c>
      <c r="E154" s="176"/>
      <c r="F154" s="170">
        <v>1000</v>
      </c>
      <c r="G154" s="317"/>
      <c r="H154" s="207"/>
      <c r="I154" s="165"/>
    </row>
    <row r="155" spans="1:9" ht="39.6" x14ac:dyDescent="0.25">
      <c r="A155" s="205">
        <v>5</v>
      </c>
      <c r="B155" s="206" t="s">
        <v>419</v>
      </c>
      <c r="C155" s="207">
        <f t="shared" si="23"/>
        <v>250</v>
      </c>
      <c r="D155" s="176">
        <v>250</v>
      </c>
      <c r="E155" s="176"/>
      <c r="F155" s="207"/>
      <c r="G155" s="207"/>
      <c r="H155" s="207"/>
      <c r="I155" s="165"/>
    </row>
    <row r="156" spans="1:9" ht="39.6" x14ac:dyDescent="0.25">
      <c r="A156" s="205">
        <v>6</v>
      </c>
      <c r="B156" s="206" t="s">
        <v>420</v>
      </c>
      <c r="C156" s="207">
        <f t="shared" si="23"/>
        <v>983.44</v>
      </c>
      <c r="D156" s="176">
        <v>983.44</v>
      </c>
      <c r="E156" s="176"/>
      <c r="F156" s="207"/>
      <c r="G156" s="207"/>
      <c r="H156" s="207"/>
      <c r="I156" s="165"/>
    </row>
    <row r="157" spans="1:9" ht="39.6" x14ac:dyDescent="0.25">
      <c r="A157" s="205">
        <v>7</v>
      </c>
      <c r="B157" s="223" t="s">
        <v>421</v>
      </c>
      <c r="C157" s="207">
        <f t="shared" si="23"/>
        <v>100</v>
      </c>
      <c r="D157" s="176">
        <v>100</v>
      </c>
      <c r="E157" s="176"/>
      <c r="F157" s="207"/>
      <c r="G157" s="207"/>
      <c r="H157" s="207"/>
      <c r="I157" s="165"/>
    </row>
    <row r="158" spans="1:9" ht="26.4" x14ac:dyDescent="0.25">
      <c r="A158" s="205"/>
      <c r="B158" s="318" t="s">
        <v>422</v>
      </c>
      <c r="C158" s="207">
        <f t="shared" ref="C158:I158" si="24">SUM(C159:C194)</f>
        <v>93604.58</v>
      </c>
      <c r="D158" s="207">
        <f t="shared" si="24"/>
        <v>18015.170000000002</v>
      </c>
      <c r="E158" s="207">
        <f t="shared" si="24"/>
        <v>0</v>
      </c>
      <c r="F158" s="207">
        <f t="shared" si="24"/>
        <v>75589.41</v>
      </c>
      <c r="G158" s="207">
        <f t="shared" si="24"/>
        <v>0</v>
      </c>
      <c r="H158" s="207">
        <f t="shared" si="24"/>
        <v>0</v>
      </c>
      <c r="I158" s="224">
        <f t="shared" si="24"/>
        <v>0</v>
      </c>
    </row>
    <row r="159" spans="1:9" ht="26.4" x14ac:dyDescent="0.25">
      <c r="A159" s="205">
        <v>1</v>
      </c>
      <c r="B159" s="223" t="s">
        <v>423</v>
      </c>
      <c r="C159" s="207">
        <f t="shared" si="23"/>
        <v>6.06</v>
      </c>
      <c r="D159" s="176">
        <v>6.06</v>
      </c>
      <c r="E159" s="176"/>
      <c r="F159" s="207"/>
      <c r="G159" s="207"/>
      <c r="H159" s="207"/>
      <c r="I159" s="165"/>
    </row>
    <row r="160" spans="1:9" x14ac:dyDescent="0.25">
      <c r="A160" s="205">
        <v>2</v>
      </c>
      <c r="B160" s="223" t="s">
        <v>424</v>
      </c>
      <c r="C160" s="207">
        <f t="shared" si="23"/>
        <v>958.3900000000001</v>
      </c>
      <c r="D160" s="176">
        <v>958.3900000000001</v>
      </c>
      <c r="E160" s="176"/>
      <c r="F160" s="207"/>
      <c r="G160" s="207"/>
      <c r="H160" s="207"/>
      <c r="I160" s="165"/>
    </row>
    <row r="161" spans="1:9" ht="26.4" x14ac:dyDescent="0.25">
      <c r="A161" s="205">
        <v>3</v>
      </c>
      <c r="B161" s="223" t="s">
        <v>425</v>
      </c>
      <c r="C161" s="207">
        <f t="shared" si="23"/>
        <v>37517.39</v>
      </c>
      <c r="D161" s="176">
        <v>1</v>
      </c>
      <c r="E161" s="176"/>
      <c r="F161" s="170">
        <f>37517.39-1</f>
        <v>37516.39</v>
      </c>
      <c r="G161" s="207"/>
      <c r="H161" s="207"/>
      <c r="I161" s="165"/>
    </row>
    <row r="162" spans="1:9" ht="26.4" x14ac:dyDescent="0.25">
      <c r="A162" s="205">
        <v>4</v>
      </c>
      <c r="B162" s="223" t="s">
        <v>426</v>
      </c>
      <c r="C162" s="207">
        <f t="shared" si="23"/>
        <v>28964.77</v>
      </c>
      <c r="D162" s="176"/>
      <c r="E162" s="176"/>
      <c r="F162" s="170">
        <v>28964.77</v>
      </c>
      <c r="G162" s="207"/>
      <c r="H162" s="207"/>
      <c r="I162" s="165"/>
    </row>
    <row r="163" spans="1:9" ht="26.4" x14ac:dyDescent="0.25">
      <c r="A163" s="205">
        <v>5</v>
      </c>
      <c r="B163" s="223" t="s">
        <v>427</v>
      </c>
      <c r="C163" s="207">
        <f t="shared" si="23"/>
        <v>4053.4</v>
      </c>
      <c r="D163" s="176">
        <v>4053.4</v>
      </c>
      <c r="E163" s="176"/>
      <c r="F163" s="207"/>
      <c r="G163" s="207"/>
      <c r="H163" s="207"/>
      <c r="I163" s="165"/>
    </row>
    <row r="164" spans="1:9" ht="26.4" x14ac:dyDescent="0.25">
      <c r="A164" s="205">
        <v>6</v>
      </c>
      <c r="B164" s="223" t="s">
        <v>428</v>
      </c>
      <c r="C164" s="207">
        <f t="shared" si="23"/>
        <v>6724.17</v>
      </c>
      <c r="D164" s="176">
        <v>6724.17</v>
      </c>
      <c r="E164" s="176"/>
      <c r="F164" s="207"/>
      <c r="G164" s="207"/>
      <c r="H164" s="207"/>
      <c r="I164" s="165"/>
    </row>
    <row r="165" spans="1:9" ht="26.4" x14ac:dyDescent="0.25">
      <c r="A165" s="205">
        <v>7</v>
      </c>
      <c r="B165" s="223" t="s">
        <v>429</v>
      </c>
      <c r="C165" s="207">
        <f t="shared" si="23"/>
        <v>10000</v>
      </c>
      <c r="D165" s="176">
        <v>891.75</v>
      </c>
      <c r="E165" s="176"/>
      <c r="F165" s="170">
        <v>9108.25</v>
      </c>
      <c r="G165" s="207"/>
      <c r="H165" s="207"/>
      <c r="I165" s="165"/>
    </row>
    <row r="166" spans="1:9" ht="39.6" x14ac:dyDescent="0.25">
      <c r="A166" s="205">
        <v>8</v>
      </c>
      <c r="B166" s="223" t="s">
        <v>430</v>
      </c>
      <c r="C166" s="207">
        <f t="shared" si="23"/>
        <v>595</v>
      </c>
      <c r="D166" s="176">
        <v>595</v>
      </c>
      <c r="E166" s="176"/>
      <c r="F166" s="207"/>
      <c r="G166" s="207"/>
      <c r="H166" s="207"/>
      <c r="I166" s="165"/>
    </row>
    <row r="167" spans="1:9" x14ac:dyDescent="0.25">
      <c r="A167" s="205">
        <v>9</v>
      </c>
      <c r="B167" s="223" t="s">
        <v>431</v>
      </c>
      <c r="C167" s="207">
        <f t="shared" si="23"/>
        <v>10</v>
      </c>
      <c r="D167" s="176">
        <v>10</v>
      </c>
      <c r="E167" s="176"/>
      <c r="F167" s="207"/>
      <c r="G167" s="207"/>
      <c r="H167" s="207"/>
      <c r="I167" s="165"/>
    </row>
    <row r="168" spans="1:9" ht="39.6" x14ac:dyDescent="0.25">
      <c r="A168" s="205">
        <v>10</v>
      </c>
      <c r="B168" s="223" t="s">
        <v>432</v>
      </c>
      <c r="C168" s="207">
        <f t="shared" si="23"/>
        <v>10</v>
      </c>
      <c r="D168" s="176">
        <v>10</v>
      </c>
      <c r="E168" s="176"/>
      <c r="F168" s="207"/>
      <c r="G168" s="207"/>
      <c r="H168" s="207"/>
      <c r="I168" s="165"/>
    </row>
    <row r="169" spans="1:9" x14ac:dyDescent="0.25">
      <c r="A169" s="205">
        <v>11</v>
      </c>
      <c r="B169" s="223" t="s">
        <v>433</v>
      </c>
      <c r="C169" s="207">
        <f t="shared" si="23"/>
        <v>1000</v>
      </c>
      <c r="D169" s="176">
        <v>1000</v>
      </c>
      <c r="E169" s="176"/>
      <c r="F169" s="207"/>
      <c r="G169" s="207"/>
      <c r="H169" s="207"/>
      <c r="I169" s="165"/>
    </row>
    <row r="170" spans="1:9" ht="26.4" x14ac:dyDescent="0.25">
      <c r="A170" s="205">
        <v>12</v>
      </c>
      <c r="B170" s="223" t="s">
        <v>434</v>
      </c>
      <c r="C170" s="207">
        <f t="shared" si="23"/>
        <v>350</v>
      </c>
      <c r="D170" s="176">
        <v>350</v>
      </c>
      <c r="E170" s="319"/>
      <c r="F170" s="320"/>
      <c r="G170" s="207"/>
      <c r="H170" s="207"/>
      <c r="I170" s="321"/>
    </row>
    <row r="171" spans="1:9" x14ac:dyDescent="0.25">
      <c r="A171" s="205">
        <v>13</v>
      </c>
      <c r="B171" s="223" t="s">
        <v>435</v>
      </c>
      <c r="C171" s="207">
        <f t="shared" si="23"/>
        <v>615</v>
      </c>
      <c r="D171" s="176">
        <v>615</v>
      </c>
      <c r="E171" s="319"/>
      <c r="F171" s="320"/>
      <c r="G171" s="207"/>
      <c r="H171" s="207"/>
      <c r="I171" s="321"/>
    </row>
    <row r="172" spans="1:9" ht="39.6" x14ac:dyDescent="0.25">
      <c r="A172" s="205">
        <v>14</v>
      </c>
      <c r="B172" s="223" t="s">
        <v>436</v>
      </c>
      <c r="C172" s="207">
        <f t="shared" si="23"/>
        <v>306.7</v>
      </c>
      <c r="D172" s="176">
        <v>306.7</v>
      </c>
      <c r="E172" s="319"/>
      <c r="F172" s="320"/>
      <c r="G172" s="207"/>
      <c r="H172" s="207"/>
      <c r="I172" s="321"/>
    </row>
    <row r="173" spans="1:9" ht="39.6" x14ac:dyDescent="0.25">
      <c r="A173" s="205">
        <v>15</v>
      </c>
      <c r="B173" s="223" t="s">
        <v>437</v>
      </c>
      <c r="C173" s="207">
        <f t="shared" si="23"/>
        <v>10</v>
      </c>
      <c r="D173" s="176">
        <v>10</v>
      </c>
      <c r="E173" s="319"/>
      <c r="F173" s="320"/>
      <c r="G173" s="207"/>
      <c r="H173" s="207"/>
      <c r="I173" s="321"/>
    </row>
    <row r="174" spans="1:9" x14ac:dyDescent="0.25">
      <c r="A174" s="205">
        <v>16</v>
      </c>
      <c r="B174" s="316" t="s">
        <v>438</v>
      </c>
      <c r="C174" s="207">
        <f t="shared" si="23"/>
        <v>10</v>
      </c>
      <c r="D174" s="176">
        <v>10</v>
      </c>
      <c r="E174" s="319"/>
      <c r="F174" s="320"/>
      <c r="G174" s="207"/>
      <c r="H174" s="207"/>
      <c r="I174" s="321"/>
    </row>
    <row r="175" spans="1:9" x14ac:dyDescent="0.25">
      <c r="A175" s="205">
        <v>17</v>
      </c>
      <c r="B175" s="316" t="s">
        <v>439</v>
      </c>
      <c r="C175" s="207">
        <f t="shared" si="23"/>
        <v>90</v>
      </c>
      <c r="D175" s="176">
        <v>90</v>
      </c>
      <c r="E175" s="319"/>
      <c r="F175" s="320"/>
      <c r="G175" s="207"/>
      <c r="H175" s="207"/>
      <c r="I175" s="321"/>
    </row>
    <row r="176" spans="1:9" x14ac:dyDescent="0.25">
      <c r="A176" s="205">
        <v>18</v>
      </c>
      <c r="B176" s="316" t="s">
        <v>440</v>
      </c>
      <c r="C176" s="207">
        <f t="shared" si="23"/>
        <v>173</v>
      </c>
      <c r="D176" s="176">
        <v>173</v>
      </c>
      <c r="E176" s="319"/>
      <c r="F176" s="320"/>
      <c r="G176" s="207"/>
      <c r="H176" s="207"/>
      <c r="I176" s="321"/>
    </row>
    <row r="177" spans="1:9" ht="26.4" x14ac:dyDescent="0.25">
      <c r="A177" s="205">
        <v>19</v>
      </c>
      <c r="B177" s="316" t="s">
        <v>441</v>
      </c>
      <c r="C177" s="207">
        <f t="shared" si="23"/>
        <v>106.1</v>
      </c>
      <c r="D177" s="176">
        <v>106.1</v>
      </c>
      <c r="E177" s="319"/>
      <c r="F177" s="320"/>
      <c r="G177" s="207"/>
      <c r="H177" s="207"/>
      <c r="I177" s="321"/>
    </row>
    <row r="178" spans="1:9" ht="39.6" x14ac:dyDescent="0.25">
      <c r="A178" s="205">
        <v>20</v>
      </c>
      <c r="B178" s="316" t="s">
        <v>442</v>
      </c>
      <c r="C178" s="207">
        <f t="shared" si="23"/>
        <v>4.5999999999999996</v>
      </c>
      <c r="D178" s="176">
        <v>4.5999999999999996</v>
      </c>
      <c r="E178" s="319"/>
      <c r="F178" s="320"/>
      <c r="G178" s="207"/>
      <c r="H178" s="207"/>
      <c r="I178" s="321"/>
    </row>
    <row r="179" spans="1:9" ht="26.4" x14ac:dyDescent="0.25">
      <c r="A179" s="205">
        <v>21</v>
      </c>
      <c r="B179" s="316" t="s">
        <v>443</v>
      </c>
      <c r="C179" s="207">
        <f t="shared" si="23"/>
        <v>100</v>
      </c>
      <c r="D179" s="176">
        <v>100</v>
      </c>
      <c r="E179" s="176"/>
      <c r="F179" s="207"/>
      <c r="G179" s="207"/>
      <c r="H179" s="207"/>
      <c r="I179" s="165"/>
    </row>
    <row r="180" spans="1:9" ht="39.6" x14ac:dyDescent="0.25">
      <c r="A180" s="205">
        <v>22</v>
      </c>
      <c r="B180" s="316" t="s">
        <v>444</v>
      </c>
      <c r="C180" s="207">
        <f t="shared" si="23"/>
        <v>100</v>
      </c>
      <c r="D180" s="176">
        <v>100</v>
      </c>
      <c r="E180" s="319"/>
      <c r="F180" s="320"/>
      <c r="G180" s="207"/>
      <c r="H180" s="207"/>
      <c r="I180" s="321"/>
    </row>
    <row r="181" spans="1:9" ht="39.6" x14ac:dyDescent="0.25">
      <c r="A181" s="205">
        <v>23</v>
      </c>
      <c r="B181" s="206" t="s">
        <v>445</v>
      </c>
      <c r="C181" s="207">
        <f t="shared" si="23"/>
        <v>100</v>
      </c>
      <c r="D181" s="176">
        <v>100</v>
      </c>
      <c r="E181" s="319"/>
      <c r="F181" s="320"/>
      <c r="G181" s="207"/>
      <c r="H181" s="207"/>
      <c r="I181" s="321"/>
    </row>
    <row r="182" spans="1:9" ht="26.4" x14ac:dyDescent="0.25">
      <c r="A182" s="205">
        <v>24</v>
      </c>
      <c r="B182" s="322" t="s">
        <v>446</v>
      </c>
      <c r="C182" s="207">
        <f t="shared" si="23"/>
        <v>100</v>
      </c>
      <c r="D182" s="176">
        <v>100</v>
      </c>
      <c r="E182" s="319"/>
      <c r="F182" s="320"/>
      <c r="G182" s="207"/>
      <c r="H182" s="207"/>
      <c r="I182" s="321"/>
    </row>
    <row r="183" spans="1:9" ht="79.2" x14ac:dyDescent="0.25">
      <c r="A183" s="205">
        <v>25</v>
      </c>
      <c r="B183" s="322" t="s">
        <v>447</v>
      </c>
      <c r="C183" s="207">
        <f t="shared" si="23"/>
        <v>80</v>
      </c>
      <c r="D183" s="176">
        <v>80</v>
      </c>
      <c r="E183" s="319"/>
      <c r="F183" s="320"/>
      <c r="G183" s="207"/>
      <c r="H183" s="207"/>
      <c r="I183" s="321"/>
    </row>
    <row r="184" spans="1:9" ht="92.4" x14ac:dyDescent="0.25">
      <c r="A184" s="205">
        <v>26</v>
      </c>
      <c r="B184" s="322" t="s">
        <v>448</v>
      </c>
      <c r="C184" s="207">
        <f t="shared" si="23"/>
        <v>100</v>
      </c>
      <c r="D184" s="176">
        <v>100</v>
      </c>
      <c r="E184" s="319"/>
      <c r="F184" s="320"/>
      <c r="G184" s="207"/>
      <c r="H184" s="207"/>
      <c r="I184" s="321"/>
    </row>
    <row r="185" spans="1:9" ht="39.6" x14ac:dyDescent="0.25">
      <c r="A185" s="205">
        <v>27</v>
      </c>
      <c r="B185" s="322" t="s">
        <v>449</v>
      </c>
      <c r="C185" s="207">
        <f t="shared" si="23"/>
        <v>100</v>
      </c>
      <c r="D185" s="176">
        <v>100</v>
      </c>
      <c r="E185" s="319"/>
      <c r="F185" s="320"/>
      <c r="G185" s="207"/>
      <c r="H185" s="207"/>
      <c r="I185" s="321"/>
    </row>
    <row r="186" spans="1:9" ht="26.4" x14ac:dyDescent="0.25">
      <c r="A186" s="205">
        <v>28</v>
      </c>
      <c r="B186" s="322" t="s">
        <v>450</v>
      </c>
      <c r="C186" s="207">
        <f t="shared" si="23"/>
        <v>10</v>
      </c>
      <c r="D186" s="176">
        <v>10</v>
      </c>
      <c r="E186" s="319"/>
      <c r="F186" s="320"/>
      <c r="G186" s="207"/>
      <c r="H186" s="207"/>
      <c r="I186" s="321"/>
    </row>
    <row r="187" spans="1:9" ht="39.6" x14ac:dyDescent="0.25">
      <c r="A187" s="205">
        <v>29</v>
      </c>
      <c r="B187" s="322" t="s">
        <v>451</v>
      </c>
      <c r="C187" s="207">
        <f t="shared" si="23"/>
        <v>95</v>
      </c>
      <c r="D187" s="176">
        <v>95</v>
      </c>
      <c r="E187" s="319"/>
      <c r="F187" s="320"/>
      <c r="G187" s="207"/>
      <c r="H187" s="207"/>
      <c r="I187" s="321"/>
    </row>
    <row r="188" spans="1:9" ht="26.4" x14ac:dyDescent="0.25">
      <c r="A188" s="205">
        <v>30</v>
      </c>
      <c r="B188" s="322" t="s">
        <v>452</v>
      </c>
      <c r="C188" s="207">
        <f t="shared" si="23"/>
        <v>10</v>
      </c>
      <c r="D188" s="176">
        <v>10</v>
      </c>
      <c r="E188" s="176"/>
      <c r="F188" s="207"/>
      <c r="G188" s="207"/>
      <c r="H188" s="207"/>
      <c r="I188" s="165"/>
    </row>
    <row r="189" spans="1:9" ht="26.4" x14ac:dyDescent="0.25">
      <c r="A189" s="205">
        <v>31</v>
      </c>
      <c r="B189" s="322" t="s">
        <v>453</v>
      </c>
      <c r="C189" s="207">
        <f t="shared" si="23"/>
        <v>10</v>
      </c>
      <c r="D189" s="176">
        <v>10</v>
      </c>
      <c r="E189" s="319"/>
      <c r="F189" s="320"/>
      <c r="G189" s="207"/>
      <c r="H189" s="207"/>
      <c r="I189" s="321"/>
    </row>
    <row r="190" spans="1:9" ht="26.4" x14ac:dyDescent="0.25">
      <c r="A190" s="205">
        <v>32</v>
      </c>
      <c r="B190" s="322" t="s">
        <v>454</v>
      </c>
      <c r="C190" s="207">
        <f t="shared" si="23"/>
        <v>10</v>
      </c>
      <c r="D190" s="176">
        <v>10</v>
      </c>
      <c r="E190" s="319"/>
      <c r="F190" s="320"/>
      <c r="G190" s="207"/>
      <c r="H190" s="207"/>
      <c r="I190" s="321"/>
    </row>
    <row r="191" spans="1:9" x14ac:dyDescent="0.25">
      <c r="A191" s="205">
        <v>33</v>
      </c>
      <c r="B191" s="322" t="s">
        <v>455</v>
      </c>
      <c r="C191" s="207">
        <f t="shared" si="23"/>
        <v>50</v>
      </c>
      <c r="D191" s="176">
        <v>50</v>
      </c>
      <c r="E191" s="319"/>
      <c r="F191" s="320"/>
      <c r="G191" s="207"/>
      <c r="H191" s="207"/>
      <c r="I191" s="321"/>
    </row>
    <row r="192" spans="1:9" ht="26.4" x14ac:dyDescent="0.25">
      <c r="A192" s="205">
        <v>34</v>
      </c>
      <c r="B192" s="322" t="s">
        <v>456</v>
      </c>
      <c r="C192" s="207">
        <f t="shared" si="23"/>
        <v>70</v>
      </c>
      <c r="D192" s="176">
        <v>70</v>
      </c>
      <c r="E192" s="319"/>
      <c r="F192" s="320"/>
      <c r="G192" s="207"/>
      <c r="H192" s="207"/>
      <c r="I192" s="321"/>
    </row>
    <row r="193" spans="1:10" ht="26.4" x14ac:dyDescent="0.25">
      <c r="A193" s="205">
        <v>35</v>
      </c>
      <c r="B193" s="322" t="s">
        <v>457</v>
      </c>
      <c r="C193" s="207">
        <f t="shared" si="23"/>
        <v>500</v>
      </c>
      <c r="D193" s="176">
        <v>500</v>
      </c>
      <c r="E193" s="319"/>
      <c r="F193" s="320"/>
      <c r="G193" s="207"/>
      <c r="H193" s="207"/>
      <c r="I193" s="321"/>
    </row>
    <row r="194" spans="1:10" x14ac:dyDescent="0.25">
      <c r="A194" s="205">
        <v>36</v>
      </c>
      <c r="B194" s="206" t="s">
        <v>458</v>
      </c>
      <c r="C194" s="207">
        <f t="shared" si="23"/>
        <v>665</v>
      </c>
      <c r="D194" s="176">
        <v>665</v>
      </c>
      <c r="E194" s="319"/>
      <c r="F194" s="320"/>
      <c r="G194" s="207"/>
      <c r="H194" s="207"/>
      <c r="I194" s="321"/>
    </row>
    <row r="195" spans="1:10" x14ac:dyDescent="0.25">
      <c r="A195" s="205"/>
      <c r="B195" s="318" t="s">
        <v>459</v>
      </c>
      <c r="C195" s="207">
        <f t="shared" ref="C195:I195" si="25">SUM(C196:C365)</f>
        <v>39723.839999999997</v>
      </c>
      <c r="D195" s="207">
        <f t="shared" si="25"/>
        <v>39723.839999999997</v>
      </c>
      <c r="E195" s="207">
        <f t="shared" si="25"/>
        <v>0</v>
      </c>
      <c r="F195" s="207">
        <f t="shared" si="25"/>
        <v>0</v>
      </c>
      <c r="G195" s="207">
        <f t="shared" si="25"/>
        <v>0</v>
      </c>
      <c r="H195" s="207">
        <f t="shared" si="25"/>
        <v>0</v>
      </c>
      <c r="I195" s="224">
        <f t="shared" si="25"/>
        <v>0</v>
      </c>
    </row>
    <row r="196" spans="1:10" ht="26.4" x14ac:dyDescent="0.25">
      <c r="A196" s="205">
        <v>1</v>
      </c>
      <c r="B196" s="322" t="s">
        <v>460</v>
      </c>
      <c r="C196" s="207">
        <f t="shared" si="23"/>
        <v>1000</v>
      </c>
      <c r="D196" s="176">
        <v>1000</v>
      </c>
      <c r="E196" s="319"/>
      <c r="F196" s="323"/>
      <c r="G196" s="207"/>
      <c r="H196" s="207"/>
      <c r="I196" s="321"/>
    </row>
    <row r="197" spans="1:10" ht="26.4" x14ac:dyDescent="0.25">
      <c r="A197" s="205">
        <v>2</v>
      </c>
      <c r="B197" s="322" t="s">
        <v>461</v>
      </c>
      <c r="C197" s="207">
        <f t="shared" si="23"/>
        <v>2844.16</v>
      </c>
      <c r="D197" s="176">
        <v>2844.16</v>
      </c>
      <c r="E197" s="319"/>
      <c r="F197" s="320"/>
      <c r="G197" s="207"/>
      <c r="H197" s="207"/>
      <c r="I197" s="321"/>
    </row>
    <row r="198" spans="1:10" ht="39.6" x14ac:dyDescent="0.25">
      <c r="A198" s="205">
        <v>3</v>
      </c>
      <c r="B198" s="322" t="s">
        <v>462</v>
      </c>
      <c r="C198" s="207">
        <f t="shared" si="23"/>
        <v>2705.77</v>
      </c>
      <c r="D198" s="176">
        <v>2705.77</v>
      </c>
      <c r="E198" s="319"/>
      <c r="F198" s="320"/>
      <c r="G198" s="207"/>
      <c r="H198" s="207"/>
      <c r="I198" s="321"/>
    </row>
    <row r="199" spans="1:10" ht="39.6" x14ac:dyDescent="0.25">
      <c r="A199" s="205">
        <v>4</v>
      </c>
      <c r="B199" s="322" t="s">
        <v>463</v>
      </c>
      <c r="C199" s="207">
        <f t="shared" si="23"/>
        <v>1255.4000000000001</v>
      </c>
      <c r="D199" s="176">
        <v>1255.4000000000001</v>
      </c>
      <c r="E199" s="319"/>
      <c r="F199" s="320"/>
      <c r="G199" s="208"/>
      <c r="H199" s="208"/>
      <c r="I199" s="321"/>
      <c r="J199" s="324"/>
    </row>
    <row r="200" spans="1:10" ht="26.4" x14ac:dyDescent="0.25">
      <c r="A200" s="205">
        <v>5</v>
      </c>
      <c r="B200" s="322" t="s">
        <v>464</v>
      </c>
      <c r="C200" s="207">
        <f t="shared" si="23"/>
        <v>2000.44</v>
      </c>
      <c r="D200" s="176">
        <v>2000.44</v>
      </c>
      <c r="E200" s="319"/>
      <c r="F200" s="320"/>
      <c r="G200" s="208"/>
      <c r="H200" s="208"/>
      <c r="I200" s="321"/>
    </row>
    <row r="201" spans="1:10" ht="39.6" x14ac:dyDescent="0.25">
      <c r="A201" s="205">
        <v>6</v>
      </c>
      <c r="B201" s="322" t="s">
        <v>465</v>
      </c>
      <c r="C201" s="207">
        <f t="shared" si="23"/>
        <v>467.4</v>
      </c>
      <c r="D201" s="176">
        <v>467.4</v>
      </c>
      <c r="E201" s="319"/>
      <c r="F201" s="320"/>
      <c r="G201" s="208"/>
      <c r="H201" s="208"/>
      <c r="I201" s="321"/>
    </row>
    <row r="202" spans="1:10" ht="79.2" x14ac:dyDescent="0.25">
      <c r="A202" s="205">
        <v>7</v>
      </c>
      <c r="B202" s="322" t="s">
        <v>466</v>
      </c>
      <c r="C202" s="207">
        <f t="shared" si="23"/>
        <v>1071.54</v>
      </c>
      <c r="D202" s="176">
        <v>1071.54</v>
      </c>
      <c r="E202" s="319"/>
      <c r="F202" s="320"/>
      <c r="G202" s="208"/>
      <c r="H202" s="208"/>
      <c r="I202" s="321"/>
    </row>
    <row r="203" spans="1:10" ht="39.6" x14ac:dyDescent="0.25">
      <c r="A203" s="205">
        <v>8</v>
      </c>
      <c r="B203" s="322" t="s">
        <v>467</v>
      </c>
      <c r="C203" s="207">
        <f t="shared" si="23"/>
        <v>2000</v>
      </c>
      <c r="D203" s="176">
        <v>2000</v>
      </c>
      <c r="E203" s="319"/>
      <c r="F203" s="320"/>
      <c r="G203" s="208"/>
      <c r="H203" s="208"/>
      <c r="I203" s="321"/>
    </row>
    <row r="204" spans="1:10" ht="26.4" x14ac:dyDescent="0.25">
      <c r="A204" s="205">
        <v>9</v>
      </c>
      <c r="B204" s="322" t="s">
        <v>468</v>
      </c>
      <c r="C204" s="207">
        <f t="shared" si="23"/>
        <v>2317.67</v>
      </c>
      <c r="D204" s="176">
        <v>2317.67</v>
      </c>
      <c r="E204" s="319"/>
      <c r="F204" s="320"/>
      <c r="G204" s="208"/>
      <c r="H204" s="208"/>
      <c r="I204" s="321"/>
    </row>
    <row r="205" spans="1:10" ht="52.8" x14ac:dyDescent="0.25">
      <c r="A205" s="205">
        <v>10</v>
      </c>
      <c r="B205" s="322" t="s">
        <v>469</v>
      </c>
      <c r="C205" s="207">
        <f t="shared" si="23"/>
        <v>721.96</v>
      </c>
      <c r="D205" s="176">
        <v>721.96</v>
      </c>
      <c r="E205" s="319"/>
      <c r="F205" s="320"/>
      <c r="G205" s="208"/>
      <c r="H205" s="208"/>
      <c r="I205" s="321"/>
    </row>
    <row r="206" spans="1:10" ht="26.4" x14ac:dyDescent="0.25">
      <c r="A206" s="205">
        <v>11</v>
      </c>
      <c r="B206" s="322" t="s">
        <v>470</v>
      </c>
      <c r="C206" s="207">
        <f t="shared" si="23"/>
        <v>5.5</v>
      </c>
      <c r="D206" s="176">
        <v>5.5</v>
      </c>
      <c r="E206" s="319"/>
      <c r="F206" s="320"/>
      <c r="G206" s="208"/>
      <c r="H206" s="208"/>
      <c r="I206" s="321"/>
    </row>
    <row r="207" spans="1:10" ht="52.8" x14ac:dyDescent="0.25">
      <c r="A207" s="205">
        <v>12</v>
      </c>
      <c r="B207" s="325" t="s">
        <v>471</v>
      </c>
      <c r="C207" s="207">
        <f t="shared" si="23"/>
        <v>1665</v>
      </c>
      <c r="D207" s="176">
        <v>1665</v>
      </c>
      <c r="E207" s="176"/>
      <c r="F207" s="176"/>
      <c r="G207" s="207"/>
      <c r="H207" s="207"/>
      <c r="I207" s="165"/>
    </row>
    <row r="208" spans="1:10" ht="26.4" x14ac:dyDescent="0.25">
      <c r="A208" s="205">
        <v>13</v>
      </c>
      <c r="B208" s="325" t="s">
        <v>472</v>
      </c>
      <c r="C208" s="207">
        <f t="shared" si="23"/>
        <v>2500</v>
      </c>
      <c r="D208" s="176">
        <v>2500</v>
      </c>
      <c r="E208" s="176"/>
      <c r="F208" s="207"/>
      <c r="G208" s="207"/>
      <c r="H208" s="207"/>
      <c r="I208" s="165"/>
    </row>
    <row r="209" spans="1:9" ht="26.4" x14ac:dyDescent="0.25">
      <c r="A209" s="205">
        <v>14</v>
      </c>
      <c r="B209" s="325" t="s">
        <v>473</v>
      </c>
      <c r="C209" s="207">
        <f t="shared" si="23"/>
        <v>2000</v>
      </c>
      <c r="D209" s="176">
        <v>2000</v>
      </c>
      <c r="E209" s="176"/>
      <c r="F209" s="176"/>
      <c r="G209" s="207"/>
      <c r="H209" s="207"/>
      <c r="I209" s="165"/>
    </row>
    <row r="210" spans="1:9" ht="26.4" x14ac:dyDescent="0.25">
      <c r="A210" s="205">
        <v>15</v>
      </c>
      <c r="B210" s="325" t="s">
        <v>474</v>
      </c>
      <c r="C210" s="207">
        <f t="shared" si="23"/>
        <v>2000</v>
      </c>
      <c r="D210" s="176">
        <v>2000</v>
      </c>
      <c r="E210" s="176"/>
      <c r="F210" s="176"/>
      <c r="G210" s="207"/>
      <c r="H210" s="207"/>
      <c r="I210" s="165"/>
    </row>
    <row r="211" spans="1:9" x14ac:dyDescent="0.25">
      <c r="A211" s="205">
        <v>16</v>
      </c>
      <c r="B211" s="325" t="s">
        <v>475</v>
      </c>
      <c r="C211" s="207">
        <f t="shared" si="23"/>
        <v>1000</v>
      </c>
      <c r="D211" s="176">
        <v>1000</v>
      </c>
      <c r="E211" s="176"/>
      <c r="F211" s="176"/>
      <c r="G211" s="207"/>
      <c r="H211" s="207"/>
      <c r="I211" s="165"/>
    </row>
    <row r="212" spans="1:9" ht="26.4" x14ac:dyDescent="0.25">
      <c r="A212" s="205">
        <v>17</v>
      </c>
      <c r="B212" s="325" t="s">
        <v>476</v>
      </c>
      <c r="C212" s="207">
        <f t="shared" si="23"/>
        <v>1000</v>
      </c>
      <c r="D212" s="176">
        <v>1000</v>
      </c>
      <c r="E212" s="176"/>
      <c r="F212" s="176"/>
      <c r="G212" s="207"/>
      <c r="H212" s="207"/>
      <c r="I212" s="165"/>
    </row>
    <row r="213" spans="1:9" ht="26.4" x14ac:dyDescent="0.25">
      <c r="A213" s="205">
        <v>18</v>
      </c>
      <c r="B213" s="325" t="s">
        <v>477</v>
      </c>
      <c r="C213" s="207">
        <f t="shared" si="23"/>
        <v>1000</v>
      </c>
      <c r="D213" s="176">
        <v>1000</v>
      </c>
      <c r="E213" s="176"/>
      <c r="F213" s="176"/>
      <c r="G213" s="207"/>
      <c r="H213" s="207"/>
      <c r="I213" s="165"/>
    </row>
    <row r="214" spans="1:9" ht="26.4" x14ac:dyDescent="0.25">
      <c r="A214" s="205">
        <v>19</v>
      </c>
      <c r="B214" s="326" t="s">
        <v>478</v>
      </c>
      <c r="C214" s="207">
        <f t="shared" si="23"/>
        <v>1000</v>
      </c>
      <c r="D214" s="176">
        <v>1000</v>
      </c>
      <c r="E214" s="176"/>
      <c r="F214" s="176"/>
      <c r="G214" s="207"/>
      <c r="H214" s="207"/>
      <c r="I214" s="165"/>
    </row>
    <row r="215" spans="1:9" ht="26.4" x14ac:dyDescent="0.25">
      <c r="A215" s="205">
        <v>20</v>
      </c>
      <c r="B215" s="326" t="s">
        <v>479</v>
      </c>
      <c r="C215" s="207">
        <f t="shared" ref="C215:C278" si="26">SUM(D215:I215)</f>
        <v>1000</v>
      </c>
      <c r="D215" s="176">
        <v>1000</v>
      </c>
      <c r="E215" s="176"/>
      <c r="F215" s="176"/>
      <c r="G215" s="207"/>
      <c r="H215" s="207"/>
      <c r="I215" s="165"/>
    </row>
    <row r="216" spans="1:9" ht="39.6" x14ac:dyDescent="0.25">
      <c r="A216" s="205">
        <v>21</v>
      </c>
      <c r="B216" s="327" t="s">
        <v>480</v>
      </c>
      <c r="C216" s="207">
        <f t="shared" si="26"/>
        <v>1000</v>
      </c>
      <c r="D216" s="176">
        <v>1000</v>
      </c>
      <c r="E216" s="176"/>
      <c r="F216" s="176"/>
      <c r="G216" s="207"/>
      <c r="H216" s="207"/>
      <c r="I216" s="165"/>
    </row>
    <row r="217" spans="1:9" ht="26.4" x14ac:dyDescent="0.25">
      <c r="A217" s="205">
        <v>22</v>
      </c>
      <c r="B217" s="327" t="s">
        <v>481</v>
      </c>
      <c r="C217" s="207">
        <f t="shared" si="26"/>
        <v>1</v>
      </c>
      <c r="D217" s="176">
        <v>1</v>
      </c>
      <c r="E217" s="176"/>
      <c r="F217" s="176"/>
      <c r="G217" s="207"/>
      <c r="H217" s="207"/>
      <c r="I217" s="165"/>
    </row>
    <row r="218" spans="1:9" ht="26.4" x14ac:dyDescent="0.25">
      <c r="A218" s="205">
        <v>23</v>
      </c>
      <c r="B218" s="327" t="s">
        <v>482</v>
      </c>
      <c r="C218" s="207">
        <f t="shared" si="26"/>
        <v>1</v>
      </c>
      <c r="D218" s="176">
        <v>1</v>
      </c>
      <c r="E218" s="176"/>
      <c r="F218" s="176"/>
      <c r="G218" s="207"/>
      <c r="H218" s="207"/>
      <c r="I218" s="165"/>
    </row>
    <row r="219" spans="1:9" ht="26.4" x14ac:dyDescent="0.25">
      <c r="A219" s="205">
        <v>24</v>
      </c>
      <c r="B219" s="327" t="s">
        <v>483</v>
      </c>
      <c r="C219" s="207">
        <f t="shared" si="26"/>
        <v>1</v>
      </c>
      <c r="D219" s="176">
        <v>1</v>
      </c>
      <c r="E219" s="319"/>
      <c r="F219" s="320"/>
      <c r="G219" s="208"/>
      <c r="H219" s="208"/>
      <c r="I219" s="321"/>
    </row>
    <row r="220" spans="1:9" ht="26.4" x14ac:dyDescent="0.25">
      <c r="A220" s="205">
        <v>25</v>
      </c>
      <c r="B220" s="327" t="s">
        <v>484</v>
      </c>
      <c r="C220" s="207">
        <f t="shared" si="26"/>
        <v>1</v>
      </c>
      <c r="D220" s="176">
        <v>1</v>
      </c>
      <c r="E220" s="319"/>
      <c r="F220" s="320"/>
      <c r="G220" s="208"/>
      <c r="H220" s="208"/>
      <c r="I220" s="321"/>
    </row>
    <row r="221" spans="1:9" ht="26.4" x14ac:dyDescent="0.25">
      <c r="A221" s="205">
        <v>26</v>
      </c>
      <c r="B221" s="223" t="s">
        <v>485</v>
      </c>
      <c r="C221" s="207">
        <f t="shared" si="26"/>
        <v>1</v>
      </c>
      <c r="D221" s="176">
        <v>1</v>
      </c>
      <c r="E221" s="319"/>
      <c r="F221" s="320"/>
      <c r="G221" s="207"/>
      <c r="H221" s="207"/>
      <c r="I221" s="321"/>
    </row>
    <row r="222" spans="1:9" ht="26.4" x14ac:dyDescent="0.25">
      <c r="A222" s="205">
        <v>27</v>
      </c>
      <c r="B222" s="223" t="s">
        <v>486</v>
      </c>
      <c r="C222" s="207">
        <f t="shared" si="26"/>
        <v>1</v>
      </c>
      <c r="D222" s="176">
        <v>1</v>
      </c>
      <c r="E222" s="319"/>
      <c r="F222" s="320"/>
      <c r="G222" s="207"/>
      <c r="H222" s="207"/>
      <c r="I222" s="321"/>
    </row>
    <row r="223" spans="1:9" ht="26.4" x14ac:dyDescent="0.25">
      <c r="A223" s="205">
        <v>28</v>
      </c>
      <c r="B223" s="223" t="s">
        <v>487</v>
      </c>
      <c r="C223" s="207">
        <f t="shared" si="26"/>
        <v>1</v>
      </c>
      <c r="D223" s="176">
        <v>1</v>
      </c>
      <c r="E223" s="319"/>
      <c r="F223" s="320"/>
      <c r="G223" s="207"/>
      <c r="H223" s="207"/>
      <c r="I223" s="321"/>
    </row>
    <row r="224" spans="1:9" ht="26.4" x14ac:dyDescent="0.25">
      <c r="A224" s="205">
        <v>29</v>
      </c>
      <c r="B224" s="223" t="s">
        <v>488</v>
      </c>
      <c r="C224" s="207">
        <f t="shared" si="26"/>
        <v>1</v>
      </c>
      <c r="D224" s="176">
        <v>1</v>
      </c>
      <c r="E224" s="319"/>
      <c r="F224" s="320"/>
      <c r="G224" s="207"/>
      <c r="H224" s="207"/>
      <c r="I224" s="321"/>
    </row>
    <row r="225" spans="1:9" ht="26.4" x14ac:dyDescent="0.25">
      <c r="A225" s="205">
        <v>30</v>
      </c>
      <c r="B225" s="223" t="s">
        <v>489</v>
      </c>
      <c r="C225" s="207">
        <f t="shared" si="26"/>
        <v>1</v>
      </c>
      <c r="D225" s="176">
        <v>1</v>
      </c>
      <c r="E225" s="319"/>
      <c r="F225" s="320"/>
      <c r="G225" s="207"/>
      <c r="H225" s="207"/>
      <c r="I225" s="321"/>
    </row>
    <row r="226" spans="1:9" ht="26.4" x14ac:dyDescent="0.25">
      <c r="A226" s="205">
        <v>31</v>
      </c>
      <c r="B226" s="328" t="s">
        <v>490</v>
      </c>
      <c r="C226" s="207">
        <f t="shared" si="26"/>
        <v>1</v>
      </c>
      <c r="D226" s="176">
        <v>1</v>
      </c>
      <c r="E226" s="319"/>
      <c r="F226" s="320"/>
      <c r="G226" s="207"/>
      <c r="H226" s="207"/>
      <c r="I226" s="321"/>
    </row>
    <row r="227" spans="1:9" ht="26.4" x14ac:dyDescent="0.25">
      <c r="A227" s="205">
        <v>32</v>
      </c>
      <c r="B227" s="328" t="s">
        <v>491</v>
      </c>
      <c r="C227" s="207">
        <f t="shared" si="26"/>
        <v>1</v>
      </c>
      <c r="D227" s="176">
        <v>1</v>
      </c>
      <c r="E227" s="319"/>
      <c r="F227" s="320"/>
      <c r="G227" s="207"/>
      <c r="H227" s="207"/>
      <c r="I227" s="321"/>
    </row>
    <row r="228" spans="1:9" ht="26.4" x14ac:dyDescent="0.25">
      <c r="A228" s="205">
        <v>33</v>
      </c>
      <c r="B228" s="328" t="s">
        <v>492</v>
      </c>
      <c r="C228" s="207">
        <f t="shared" si="26"/>
        <v>1</v>
      </c>
      <c r="D228" s="176">
        <v>1</v>
      </c>
      <c r="E228" s="319"/>
      <c r="F228" s="320"/>
      <c r="G228" s="207"/>
      <c r="H228" s="207"/>
      <c r="I228" s="321"/>
    </row>
    <row r="229" spans="1:9" ht="79.2" x14ac:dyDescent="0.25">
      <c r="A229" s="205">
        <v>34</v>
      </c>
      <c r="B229" s="328" t="s">
        <v>493</v>
      </c>
      <c r="C229" s="207">
        <f t="shared" si="26"/>
        <v>100</v>
      </c>
      <c r="D229" s="176">
        <v>100</v>
      </c>
      <c r="E229" s="319"/>
      <c r="F229" s="320"/>
      <c r="G229" s="207"/>
      <c r="H229" s="207"/>
      <c r="I229" s="321"/>
    </row>
    <row r="230" spans="1:9" ht="39.6" x14ac:dyDescent="0.25">
      <c r="A230" s="205">
        <v>35</v>
      </c>
      <c r="B230" s="328" t="s">
        <v>494</v>
      </c>
      <c r="C230" s="207">
        <f t="shared" si="26"/>
        <v>1</v>
      </c>
      <c r="D230" s="176">
        <v>1</v>
      </c>
      <c r="E230" s="319"/>
      <c r="F230" s="320"/>
      <c r="G230" s="207"/>
      <c r="H230" s="207"/>
      <c r="I230" s="321"/>
    </row>
    <row r="231" spans="1:9" ht="52.8" x14ac:dyDescent="0.25">
      <c r="A231" s="205">
        <v>36</v>
      </c>
      <c r="B231" s="329" t="s">
        <v>495</v>
      </c>
      <c r="C231" s="207">
        <f t="shared" si="26"/>
        <v>1</v>
      </c>
      <c r="D231" s="176">
        <v>1</v>
      </c>
      <c r="E231" s="319"/>
      <c r="F231" s="320"/>
      <c r="G231" s="208"/>
      <c r="H231" s="208"/>
      <c r="I231" s="321"/>
    </row>
    <row r="232" spans="1:9" ht="52.8" x14ac:dyDescent="0.25">
      <c r="A232" s="205">
        <v>37</v>
      </c>
      <c r="B232" s="329" t="s">
        <v>496</v>
      </c>
      <c r="C232" s="207">
        <f t="shared" si="26"/>
        <v>1</v>
      </c>
      <c r="D232" s="176">
        <v>1</v>
      </c>
      <c r="E232" s="319"/>
      <c r="F232" s="320"/>
      <c r="G232" s="208"/>
      <c r="H232" s="208"/>
      <c r="I232" s="321"/>
    </row>
    <row r="233" spans="1:9" ht="52.8" x14ac:dyDescent="0.25">
      <c r="A233" s="205">
        <v>38</v>
      </c>
      <c r="B233" s="327" t="s">
        <v>497</v>
      </c>
      <c r="C233" s="207">
        <f t="shared" si="26"/>
        <v>1</v>
      </c>
      <c r="D233" s="176">
        <v>1</v>
      </c>
      <c r="E233" s="319"/>
      <c r="F233" s="320"/>
      <c r="G233" s="208"/>
      <c r="H233" s="208"/>
      <c r="I233" s="321"/>
    </row>
    <row r="234" spans="1:9" ht="39.6" x14ac:dyDescent="0.25">
      <c r="A234" s="205">
        <v>39</v>
      </c>
      <c r="B234" s="329" t="s">
        <v>498</v>
      </c>
      <c r="C234" s="207">
        <f t="shared" si="26"/>
        <v>1</v>
      </c>
      <c r="D234" s="176">
        <v>1</v>
      </c>
      <c r="E234" s="319"/>
      <c r="F234" s="320"/>
      <c r="G234" s="208"/>
      <c r="H234" s="208"/>
      <c r="I234" s="321"/>
    </row>
    <row r="235" spans="1:9" ht="26.4" x14ac:dyDescent="0.25">
      <c r="A235" s="205">
        <v>40</v>
      </c>
      <c r="B235" s="329" t="s">
        <v>499</v>
      </c>
      <c r="C235" s="207">
        <f t="shared" si="26"/>
        <v>100</v>
      </c>
      <c r="D235" s="176">
        <v>100</v>
      </c>
      <c r="E235" s="176"/>
      <c r="F235" s="207"/>
      <c r="G235" s="207"/>
      <c r="H235" s="207"/>
      <c r="I235" s="165"/>
    </row>
    <row r="236" spans="1:9" ht="39.6" x14ac:dyDescent="0.25">
      <c r="A236" s="205">
        <v>41</v>
      </c>
      <c r="B236" s="329" t="s">
        <v>500</v>
      </c>
      <c r="C236" s="207">
        <f t="shared" si="26"/>
        <v>1</v>
      </c>
      <c r="D236" s="176">
        <v>1</v>
      </c>
      <c r="E236" s="176"/>
      <c r="F236" s="207"/>
      <c r="G236" s="207"/>
      <c r="H236" s="207"/>
      <c r="I236" s="165"/>
    </row>
    <row r="237" spans="1:9" ht="26.4" x14ac:dyDescent="0.25">
      <c r="A237" s="205">
        <v>42</v>
      </c>
      <c r="B237" s="330" t="s">
        <v>501</v>
      </c>
      <c r="C237" s="207">
        <f t="shared" si="26"/>
        <v>100</v>
      </c>
      <c r="D237" s="176">
        <v>100</v>
      </c>
      <c r="E237" s="176"/>
      <c r="F237" s="207"/>
      <c r="G237" s="207"/>
      <c r="H237" s="207"/>
      <c r="I237" s="165"/>
    </row>
    <row r="238" spans="1:9" ht="26.4" x14ac:dyDescent="0.25">
      <c r="A238" s="205">
        <v>43</v>
      </c>
      <c r="B238" s="331" t="s">
        <v>502</v>
      </c>
      <c r="C238" s="207">
        <f t="shared" si="26"/>
        <v>100</v>
      </c>
      <c r="D238" s="176">
        <v>100</v>
      </c>
      <c r="E238" s="176"/>
      <c r="F238" s="207"/>
      <c r="G238" s="207"/>
      <c r="H238" s="207"/>
      <c r="I238" s="165"/>
    </row>
    <row r="239" spans="1:9" ht="26.4" x14ac:dyDescent="0.25">
      <c r="A239" s="205">
        <v>44</v>
      </c>
      <c r="B239" s="329" t="s">
        <v>503</v>
      </c>
      <c r="C239" s="207">
        <f t="shared" si="26"/>
        <v>100</v>
      </c>
      <c r="D239" s="176">
        <v>100</v>
      </c>
      <c r="E239" s="176"/>
      <c r="F239" s="176"/>
      <c r="G239" s="207"/>
      <c r="H239" s="207"/>
      <c r="I239" s="165"/>
    </row>
    <row r="240" spans="1:9" ht="26.4" x14ac:dyDescent="0.25">
      <c r="A240" s="205">
        <v>45</v>
      </c>
      <c r="B240" s="329" t="s">
        <v>504</v>
      </c>
      <c r="C240" s="207">
        <f t="shared" si="26"/>
        <v>100</v>
      </c>
      <c r="D240" s="176">
        <v>100</v>
      </c>
      <c r="E240" s="176"/>
      <c r="F240" s="176"/>
      <c r="G240" s="207"/>
      <c r="H240" s="207"/>
      <c r="I240" s="165"/>
    </row>
    <row r="241" spans="1:9" ht="26.4" x14ac:dyDescent="0.25">
      <c r="A241" s="205">
        <v>46</v>
      </c>
      <c r="B241" s="206" t="s">
        <v>505</v>
      </c>
      <c r="C241" s="207">
        <f t="shared" si="26"/>
        <v>100</v>
      </c>
      <c r="D241" s="176">
        <v>100</v>
      </c>
      <c r="E241" s="176"/>
      <c r="F241" s="176"/>
      <c r="G241" s="207"/>
      <c r="H241" s="207"/>
      <c r="I241" s="165"/>
    </row>
    <row r="242" spans="1:9" ht="26.4" x14ac:dyDescent="0.25">
      <c r="A242" s="205">
        <v>47</v>
      </c>
      <c r="B242" s="119" t="s">
        <v>506</v>
      </c>
      <c r="C242" s="207">
        <f t="shared" si="26"/>
        <v>100</v>
      </c>
      <c r="D242" s="176">
        <v>100</v>
      </c>
      <c r="E242" s="176"/>
      <c r="F242" s="176"/>
      <c r="G242" s="207"/>
      <c r="H242" s="207"/>
      <c r="I242" s="165"/>
    </row>
    <row r="243" spans="1:9" ht="26.4" x14ac:dyDescent="0.25">
      <c r="A243" s="205">
        <v>48</v>
      </c>
      <c r="B243" s="119" t="s">
        <v>507</v>
      </c>
      <c r="C243" s="207">
        <f t="shared" si="26"/>
        <v>1</v>
      </c>
      <c r="D243" s="176">
        <v>1</v>
      </c>
      <c r="E243" s="176"/>
      <c r="F243" s="207"/>
      <c r="G243" s="207"/>
      <c r="H243" s="207"/>
      <c r="I243" s="165"/>
    </row>
    <row r="244" spans="1:9" ht="26.4" x14ac:dyDescent="0.25">
      <c r="A244" s="205">
        <v>49</v>
      </c>
      <c r="B244" s="329" t="s">
        <v>508</v>
      </c>
      <c r="C244" s="207">
        <f t="shared" si="26"/>
        <v>1</v>
      </c>
      <c r="D244" s="176">
        <v>1</v>
      </c>
      <c r="E244" s="176"/>
      <c r="F244" s="207"/>
      <c r="G244" s="207"/>
      <c r="H244" s="207"/>
      <c r="I244" s="165"/>
    </row>
    <row r="245" spans="1:9" ht="39.6" x14ac:dyDescent="0.25">
      <c r="A245" s="205">
        <v>50</v>
      </c>
      <c r="B245" s="329" t="s">
        <v>509</v>
      </c>
      <c r="C245" s="207">
        <f t="shared" si="26"/>
        <v>1</v>
      </c>
      <c r="D245" s="176">
        <v>1</v>
      </c>
      <c r="E245" s="176"/>
      <c r="F245" s="207"/>
      <c r="G245" s="207"/>
      <c r="H245" s="207"/>
      <c r="I245" s="165"/>
    </row>
    <row r="246" spans="1:9" ht="26.4" x14ac:dyDescent="0.25">
      <c r="A246" s="205">
        <v>51</v>
      </c>
      <c r="B246" s="329" t="s">
        <v>510</v>
      </c>
      <c r="C246" s="207">
        <f t="shared" si="26"/>
        <v>1</v>
      </c>
      <c r="D246" s="176">
        <v>1</v>
      </c>
      <c r="E246" s="176"/>
      <c r="F246" s="207"/>
      <c r="G246" s="207"/>
      <c r="H246" s="207"/>
      <c r="I246" s="165"/>
    </row>
    <row r="247" spans="1:9" ht="26.4" x14ac:dyDescent="0.25">
      <c r="A247" s="205">
        <v>52</v>
      </c>
      <c r="B247" s="119" t="s">
        <v>511</v>
      </c>
      <c r="C247" s="207">
        <f t="shared" si="26"/>
        <v>1</v>
      </c>
      <c r="D247" s="176">
        <v>1</v>
      </c>
      <c r="E247" s="176"/>
      <c r="F247" s="207"/>
      <c r="G247" s="207"/>
      <c r="H247" s="207"/>
      <c r="I247" s="165"/>
    </row>
    <row r="248" spans="1:9" ht="26.4" x14ac:dyDescent="0.25">
      <c r="A248" s="205">
        <v>53</v>
      </c>
      <c r="B248" s="329" t="s">
        <v>512</v>
      </c>
      <c r="C248" s="207">
        <f t="shared" si="26"/>
        <v>1</v>
      </c>
      <c r="D248" s="176">
        <v>1</v>
      </c>
      <c r="E248" s="176"/>
      <c r="F248" s="207"/>
      <c r="G248" s="207"/>
      <c r="H248" s="207"/>
      <c r="I248" s="165"/>
    </row>
    <row r="249" spans="1:9" ht="26.4" x14ac:dyDescent="0.25">
      <c r="A249" s="205">
        <v>54</v>
      </c>
      <c r="B249" s="328" t="s">
        <v>513</v>
      </c>
      <c r="C249" s="207">
        <f t="shared" si="26"/>
        <v>1</v>
      </c>
      <c r="D249" s="176">
        <v>1</v>
      </c>
      <c r="E249" s="176"/>
      <c r="F249" s="207"/>
      <c r="G249" s="207"/>
      <c r="H249" s="207"/>
      <c r="I249" s="165"/>
    </row>
    <row r="250" spans="1:9" ht="26.4" x14ac:dyDescent="0.25">
      <c r="A250" s="205">
        <v>55</v>
      </c>
      <c r="B250" s="328" t="s">
        <v>514</v>
      </c>
      <c r="C250" s="207">
        <f t="shared" si="26"/>
        <v>1</v>
      </c>
      <c r="D250" s="176">
        <v>1</v>
      </c>
      <c r="E250" s="176"/>
      <c r="F250" s="207"/>
      <c r="G250" s="207"/>
      <c r="H250" s="207"/>
      <c r="I250" s="165"/>
    </row>
    <row r="251" spans="1:9" ht="26.4" x14ac:dyDescent="0.25">
      <c r="A251" s="205">
        <v>56</v>
      </c>
      <c r="B251" s="328" t="s">
        <v>515</v>
      </c>
      <c r="C251" s="207">
        <f t="shared" si="26"/>
        <v>1</v>
      </c>
      <c r="D251" s="176">
        <v>1</v>
      </c>
      <c r="E251" s="176"/>
      <c r="F251" s="207"/>
      <c r="G251" s="207"/>
      <c r="H251" s="207"/>
      <c r="I251" s="165"/>
    </row>
    <row r="252" spans="1:9" ht="39.6" x14ac:dyDescent="0.25">
      <c r="A252" s="205">
        <v>57</v>
      </c>
      <c r="B252" s="328" t="s">
        <v>516</v>
      </c>
      <c r="C252" s="207">
        <f t="shared" si="26"/>
        <v>1</v>
      </c>
      <c r="D252" s="176">
        <v>1</v>
      </c>
      <c r="E252" s="176"/>
      <c r="F252" s="207"/>
      <c r="G252" s="207"/>
      <c r="H252" s="207"/>
      <c r="I252" s="165"/>
    </row>
    <row r="253" spans="1:9" ht="26.4" x14ac:dyDescent="0.25">
      <c r="A253" s="205">
        <v>58</v>
      </c>
      <c r="B253" s="329" t="s">
        <v>517</v>
      </c>
      <c r="C253" s="207">
        <f t="shared" si="26"/>
        <v>1</v>
      </c>
      <c r="D253" s="176">
        <v>1</v>
      </c>
      <c r="E253" s="176"/>
      <c r="F253" s="207"/>
      <c r="G253" s="207"/>
      <c r="H253" s="207"/>
      <c r="I253" s="165"/>
    </row>
    <row r="254" spans="1:9" ht="26.4" x14ac:dyDescent="0.25">
      <c r="A254" s="205">
        <v>59</v>
      </c>
      <c r="B254" s="329" t="s">
        <v>518</v>
      </c>
      <c r="C254" s="207">
        <f t="shared" si="26"/>
        <v>1</v>
      </c>
      <c r="D254" s="176">
        <v>1</v>
      </c>
      <c r="E254" s="176"/>
      <c r="F254" s="207"/>
      <c r="G254" s="207"/>
      <c r="H254" s="207"/>
      <c r="I254" s="165"/>
    </row>
    <row r="255" spans="1:9" ht="26.4" x14ac:dyDescent="0.25">
      <c r="A255" s="205">
        <v>60</v>
      </c>
      <c r="B255" s="328" t="s">
        <v>519</v>
      </c>
      <c r="C255" s="207">
        <f t="shared" si="26"/>
        <v>1</v>
      </c>
      <c r="D255" s="176">
        <v>1</v>
      </c>
      <c r="E255" s="176"/>
      <c r="F255" s="207"/>
      <c r="G255" s="207"/>
      <c r="H255" s="207"/>
      <c r="I255" s="165"/>
    </row>
    <row r="256" spans="1:9" ht="26.4" x14ac:dyDescent="0.25">
      <c r="A256" s="205">
        <v>61</v>
      </c>
      <c r="B256" s="329" t="s">
        <v>520</v>
      </c>
      <c r="C256" s="207">
        <f t="shared" si="26"/>
        <v>1</v>
      </c>
      <c r="D256" s="176">
        <v>1</v>
      </c>
      <c r="E256" s="176"/>
      <c r="F256" s="207"/>
      <c r="G256" s="207"/>
      <c r="H256" s="207"/>
      <c r="I256" s="165"/>
    </row>
    <row r="257" spans="1:9" ht="26.4" x14ac:dyDescent="0.25">
      <c r="A257" s="205">
        <v>62</v>
      </c>
      <c r="B257" s="328" t="s">
        <v>521</v>
      </c>
      <c r="C257" s="207">
        <f t="shared" si="26"/>
        <v>1</v>
      </c>
      <c r="D257" s="176">
        <v>1</v>
      </c>
      <c r="E257" s="176"/>
      <c r="F257" s="176"/>
      <c r="G257" s="207"/>
      <c r="H257" s="207"/>
      <c r="I257" s="165"/>
    </row>
    <row r="258" spans="1:9" ht="26.4" x14ac:dyDescent="0.25">
      <c r="A258" s="205">
        <v>63</v>
      </c>
      <c r="B258" s="329" t="s">
        <v>522</v>
      </c>
      <c r="C258" s="207">
        <f t="shared" si="26"/>
        <v>1</v>
      </c>
      <c r="D258" s="176">
        <v>1</v>
      </c>
      <c r="E258" s="176"/>
      <c r="F258" s="207"/>
      <c r="G258" s="207"/>
      <c r="H258" s="207"/>
      <c r="I258" s="165"/>
    </row>
    <row r="259" spans="1:9" ht="26.4" x14ac:dyDescent="0.25">
      <c r="A259" s="205">
        <v>64</v>
      </c>
      <c r="B259" s="329" t="s">
        <v>523</v>
      </c>
      <c r="C259" s="207">
        <f t="shared" si="26"/>
        <v>1</v>
      </c>
      <c r="D259" s="176">
        <v>1</v>
      </c>
      <c r="E259" s="176"/>
      <c r="F259" s="207"/>
      <c r="G259" s="207"/>
      <c r="H259" s="207"/>
      <c r="I259" s="165"/>
    </row>
    <row r="260" spans="1:9" ht="26.4" x14ac:dyDescent="0.25">
      <c r="A260" s="205">
        <v>65</v>
      </c>
      <c r="B260" s="328" t="s">
        <v>524</v>
      </c>
      <c r="C260" s="207">
        <f t="shared" si="26"/>
        <v>1</v>
      </c>
      <c r="D260" s="176">
        <v>1</v>
      </c>
      <c r="E260" s="176"/>
      <c r="F260" s="207"/>
      <c r="G260" s="207"/>
      <c r="H260" s="207"/>
      <c r="I260" s="165"/>
    </row>
    <row r="261" spans="1:9" ht="26.4" x14ac:dyDescent="0.25">
      <c r="A261" s="205">
        <v>66</v>
      </c>
      <c r="B261" s="328" t="s">
        <v>525</v>
      </c>
      <c r="C261" s="207">
        <f t="shared" si="26"/>
        <v>1</v>
      </c>
      <c r="D261" s="176">
        <v>1</v>
      </c>
      <c r="E261" s="176"/>
      <c r="F261" s="207"/>
      <c r="G261" s="207"/>
      <c r="H261" s="207"/>
      <c r="I261" s="165"/>
    </row>
    <row r="262" spans="1:9" ht="26.4" x14ac:dyDescent="0.25">
      <c r="A262" s="205">
        <v>67</v>
      </c>
      <c r="B262" s="331" t="s">
        <v>526</v>
      </c>
      <c r="C262" s="207">
        <f t="shared" si="26"/>
        <v>1</v>
      </c>
      <c r="D262" s="176">
        <v>1</v>
      </c>
      <c r="E262" s="176"/>
      <c r="F262" s="207"/>
      <c r="G262" s="207"/>
      <c r="H262" s="207"/>
      <c r="I262" s="165"/>
    </row>
    <row r="263" spans="1:9" ht="26.4" x14ac:dyDescent="0.25">
      <c r="A263" s="205">
        <v>68</v>
      </c>
      <c r="B263" s="331" t="s">
        <v>527</v>
      </c>
      <c r="C263" s="207">
        <f t="shared" si="26"/>
        <v>1</v>
      </c>
      <c r="D263" s="176">
        <v>1</v>
      </c>
      <c r="E263" s="176"/>
      <c r="F263" s="207"/>
      <c r="G263" s="207"/>
      <c r="H263" s="207"/>
      <c r="I263" s="165"/>
    </row>
    <row r="264" spans="1:9" ht="26.4" x14ac:dyDescent="0.25">
      <c r="A264" s="205">
        <v>69</v>
      </c>
      <c r="B264" s="329" t="s">
        <v>528</v>
      </c>
      <c r="C264" s="207">
        <f t="shared" si="26"/>
        <v>1</v>
      </c>
      <c r="D264" s="176">
        <v>1</v>
      </c>
      <c r="E264" s="176"/>
      <c r="F264" s="207"/>
      <c r="G264" s="207"/>
      <c r="H264" s="207"/>
      <c r="I264" s="165"/>
    </row>
    <row r="265" spans="1:9" ht="26.4" x14ac:dyDescent="0.25">
      <c r="A265" s="205">
        <v>70</v>
      </c>
      <c r="B265" s="329" t="s">
        <v>529</v>
      </c>
      <c r="C265" s="207">
        <f t="shared" si="26"/>
        <v>1</v>
      </c>
      <c r="D265" s="176">
        <v>1</v>
      </c>
      <c r="E265" s="176"/>
      <c r="F265" s="207"/>
      <c r="G265" s="207"/>
      <c r="H265" s="207"/>
      <c r="I265" s="165"/>
    </row>
    <row r="266" spans="1:9" ht="26.4" x14ac:dyDescent="0.25">
      <c r="A266" s="205">
        <v>71</v>
      </c>
      <c r="B266" s="329" t="s">
        <v>530</v>
      </c>
      <c r="C266" s="207">
        <f t="shared" si="26"/>
        <v>1</v>
      </c>
      <c r="D266" s="176">
        <v>1</v>
      </c>
      <c r="E266" s="176"/>
      <c r="F266" s="207"/>
      <c r="G266" s="207"/>
      <c r="H266" s="207"/>
      <c r="I266" s="165"/>
    </row>
    <row r="267" spans="1:9" ht="26.4" x14ac:dyDescent="0.25">
      <c r="A267" s="205">
        <v>72</v>
      </c>
      <c r="B267" s="329" t="s">
        <v>531</v>
      </c>
      <c r="C267" s="207">
        <f t="shared" si="26"/>
        <v>1</v>
      </c>
      <c r="D267" s="176">
        <v>1</v>
      </c>
      <c r="E267" s="176"/>
      <c r="F267" s="207"/>
      <c r="G267" s="207"/>
      <c r="H267" s="207"/>
      <c r="I267" s="165"/>
    </row>
    <row r="268" spans="1:9" ht="26.4" x14ac:dyDescent="0.25">
      <c r="A268" s="205">
        <v>73</v>
      </c>
      <c r="B268" s="329" t="s">
        <v>532</v>
      </c>
      <c r="C268" s="207">
        <f t="shared" si="26"/>
        <v>1</v>
      </c>
      <c r="D268" s="176">
        <v>1</v>
      </c>
      <c r="E268" s="176"/>
      <c r="F268" s="207"/>
      <c r="G268" s="207"/>
      <c r="H268" s="207"/>
      <c r="I268" s="165"/>
    </row>
    <row r="269" spans="1:9" ht="26.4" x14ac:dyDescent="0.25">
      <c r="A269" s="205">
        <v>74</v>
      </c>
      <c r="B269" s="331" t="s">
        <v>533</v>
      </c>
      <c r="C269" s="207">
        <f t="shared" si="26"/>
        <v>1</v>
      </c>
      <c r="D269" s="176">
        <v>1</v>
      </c>
      <c r="E269" s="176"/>
      <c r="F269" s="207"/>
      <c r="G269" s="207"/>
      <c r="H269" s="207"/>
      <c r="I269" s="165"/>
    </row>
    <row r="270" spans="1:9" ht="26.4" x14ac:dyDescent="0.25">
      <c r="A270" s="205">
        <v>75</v>
      </c>
      <c r="B270" s="329" t="s">
        <v>534</v>
      </c>
      <c r="C270" s="207">
        <f t="shared" si="26"/>
        <v>1</v>
      </c>
      <c r="D270" s="176">
        <v>1</v>
      </c>
      <c r="E270" s="176"/>
      <c r="F270" s="207"/>
      <c r="G270" s="207"/>
      <c r="H270" s="207"/>
      <c r="I270" s="165"/>
    </row>
    <row r="271" spans="1:9" x14ac:dyDescent="0.25">
      <c r="A271" s="205">
        <v>76</v>
      </c>
      <c r="B271" s="329" t="s">
        <v>535</v>
      </c>
      <c r="C271" s="207">
        <f t="shared" si="26"/>
        <v>1</v>
      </c>
      <c r="D271" s="176">
        <v>1</v>
      </c>
      <c r="E271" s="176"/>
      <c r="F271" s="207"/>
      <c r="G271" s="207"/>
      <c r="H271" s="207"/>
      <c r="I271" s="165"/>
    </row>
    <row r="272" spans="1:9" ht="39.6" x14ac:dyDescent="0.25">
      <c r="A272" s="205">
        <v>77</v>
      </c>
      <c r="B272" s="329" t="s">
        <v>536</v>
      </c>
      <c r="C272" s="207">
        <f t="shared" si="26"/>
        <v>50</v>
      </c>
      <c r="D272" s="176">
        <v>50</v>
      </c>
      <c r="E272" s="176"/>
      <c r="F272" s="207"/>
      <c r="G272" s="207"/>
      <c r="H272" s="207"/>
      <c r="I272" s="165"/>
    </row>
    <row r="273" spans="1:9" ht="26.4" x14ac:dyDescent="0.25">
      <c r="A273" s="205">
        <v>78</v>
      </c>
      <c r="B273" s="329" t="s">
        <v>537</v>
      </c>
      <c r="C273" s="207">
        <f t="shared" si="26"/>
        <v>1</v>
      </c>
      <c r="D273" s="176">
        <v>1</v>
      </c>
      <c r="E273" s="176"/>
      <c r="F273" s="207"/>
      <c r="G273" s="207"/>
      <c r="H273" s="207"/>
      <c r="I273" s="165"/>
    </row>
    <row r="274" spans="1:9" ht="26.4" x14ac:dyDescent="0.25">
      <c r="A274" s="205">
        <v>79</v>
      </c>
      <c r="B274" s="328" t="s">
        <v>538</v>
      </c>
      <c r="C274" s="207">
        <f t="shared" si="26"/>
        <v>1</v>
      </c>
      <c r="D274" s="176">
        <v>1</v>
      </c>
      <c r="E274" s="176"/>
      <c r="F274" s="207"/>
      <c r="G274" s="207"/>
      <c r="H274" s="207"/>
      <c r="I274" s="165"/>
    </row>
    <row r="275" spans="1:9" ht="26.4" x14ac:dyDescent="0.25">
      <c r="A275" s="205">
        <v>80</v>
      </c>
      <c r="B275" s="331" t="s">
        <v>539</v>
      </c>
      <c r="C275" s="207">
        <f t="shared" si="26"/>
        <v>1</v>
      </c>
      <c r="D275" s="176">
        <v>1</v>
      </c>
      <c r="E275" s="176"/>
      <c r="F275" s="207"/>
      <c r="G275" s="207"/>
      <c r="H275" s="207"/>
      <c r="I275" s="165"/>
    </row>
    <row r="276" spans="1:9" ht="26.4" x14ac:dyDescent="0.25">
      <c r="A276" s="205">
        <v>81</v>
      </c>
      <c r="B276" s="328" t="s">
        <v>540</v>
      </c>
      <c r="C276" s="207">
        <f t="shared" si="26"/>
        <v>1</v>
      </c>
      <c r="D276" s="176">
        <v>1</v>
      </c>
      <c r="E276" s="176"/>
      <c r="F276" s="207"/>
      <c r="G276" s="207"/>
      <c r="H276" s="207"/>
      <c r="I276" s="165"/>
    </row>
    <row r="277" spans="1:9" ht="26.4" x14ac:dyDescent="0.25">
      <c r="A277" s="205">
        <v>82</v>
      </c>
      <c r="B277" s="328" t="s">
        <v>541</v>
      </c>
      <c r="C277" s="207">
        <f t="shared" si="26"/>
        <v>1</v>
      </c>
      <c r="D277" s="176">
        <v>1</v>
      </c>
      <c r="E277" s="176"/>
      <c r="F277" s="207"/>
      <c r="G277" s="207"/>
      <c r="H277" s="207"/>
      <c r="I277" s="165"/>
    </row>
    <row r="278" spans="1:9" ht="26.4" x14ac:dyDescent="0.25">
      <c r="A278" s="205">
        <v>83</v>
      </c>
      <c r="B278" s="328" t="s">
        <v>542</v>
      </c>
      <c r="C278" s="207">
        <f t="shared" si="26"/>
        <v>1</v>
      </c>
      <c r="D278" s="176">
        <v>1</v>
      </c>
      <c r="E278" s="176"/>
      <c r="F278" s="207"/>
      <c r="G278" s="207"/>
      <c r="H278" s="207"/>
      <c r="I278" s="165"/>
    </row>
    <row r="279" spans="1:9" ht="26.4" x14ac:dyDescent="0.25">
      <c r="A279" s="205">
        <v>84</v>
      </c>
      <c r="B279" s="328" t="s">
        <v>543</v>
      </c>
      <c r="C279" s="207">
        <f t="shared" ref="C279:C342" si="27">SUM(D279:I279)</f>
        <v>1</v>
      </c>
      <c r="D279" s="176">
        <v>1</v>
      </c>
      <c r="E279" s="176"/>
      <c r="F279" s="207"/>
      <c r="G279" s="207"/>
      <c r="H279" s="207"/>
      <c r="I279" s="165"/>
    </row>
    <row r="280" spans="1:9" ht="26.4" x14ac:dyDescent="0.25">
      <c r="A280" s="205">
        <v>85</v>
      </c>
      <c r="B280" s="329" t="s">
        <v>544</v>
      </c>
      <c r="C280" s="207">
        <f t="shared" si="27"/>
        <v>1</v>
      </c>
      <c r="D280" s="176">
        <v>1</v>
      </c>
      <c r="E280" s="176"/>
      <c r="F280" s="207"/>
      <c r="G280" s="207"/>
      <c r="H280" s="207"/>
      <c r="I280" s="165"/>
    </row>
    <row r="281" spans="1:9" ht="26.4" x14ac:dyDescent="0.25">
      <c r="A281" s="205">
        <v>86</v>
      </c>
      <c r="B281" s="329" t="s">
        <v>545</v>
      </c>
      <c r="C281" s="207">
        <f t="shared" si="27"/>
        <v>1</v>
      </c>
      <c r="D281" s="176">
        <v>1</v>
      </c>
      <c r="E281" s="176"/>
      <c r="F281" s="207"/>
      <c r="G281" s="207"/>
      <c r="H281" s="207"/>
      <c r="I281" s="165"/>
    </row>
    <row r="282" spans="1:9" ht="26.4" x14ac:dyDescent="0.25">
      <c r="A282" s="205">
        <v>87</v>
      </c>
      <c r="B282" s="329" t="s">
        <v>546</v>
      </c>
      <c r="C282" s="207">
        <f t="shared" si="27"/>
        <v>1</v>
      </c>
      <c r="D282" s="176">
        <v>1</v>
      </c>
      <c r="E282" s="176"/>
      <c r="F282" s="207"/>
      <c r="G282" s="207"/>
      <c r="H282" s="207"/>
      <c r="I282" s="165"/>
    </row>
    <row r="283" spans="1:9" ht="26.4" x14ac:dyDescent="0.25">
      <c r="A283" s="205">
        <v>88</v>
      </c>
      <c r="B283" s="328" t="s">
        <v>547</v>
      </c>
      <c r="C283" s="207">
        <f t="shared" si="27"/>
        <v>1</v>
      </c>
      <c r="D283" s="176">
        <v>1</v>
      </c>
      <c r="E283" s="176"/>
      <c r="F283" s="207"/>
      <c r="G283" s="207"/>
      <c r="H283" s="207"/>
      <c r="I283" s="165"/>
    </row>
    <row r="284" spans="1:9" ht="26.4" x14ac:dyDescent="0.25">
      <c r="A284" s="205">
        <v>89</v>
      </c>
      <c r="B284" s="329" t="s">
        <v>548</v>
      </c>
      <c r="C284" s="207">
        <f t="shared" si="27"/>
        <v>1</v>
      </c>
      <c r="D284" s="176">
        <v>1</v>
      </c>
      <c r="E284" s="176"/>
      <c r="F284" s="207"/>
      <c r="G284" s="207"/>
      <c r="H284" s="207"/>
      <c r="I284" s="165"/>
    </row>
    <row r="285" spans="1:9" ht="26.4" x14ac:dyDescent="0.25">
      <c r="A285" s="205">
        <v>90</v>
      </c>
      <c r="B285" s="332" t="s">
        <v>549</v>
      </c>
      <c r="C285" s="207">
        <f t="shared" si="27"/>
        <v>1</v>
      </c>
      <c r="D285" s="176">
        <v>1</v>
      </c>
      <c r="E285" s="176"/>
      <c r="F285" s="207"/>
      <c r="G285" s="207"/>
      <c r="H285" s="207"/>
      <c r="I285" s="165"/>
    </row>
    <row r="286" spans="1:9" ht="26.4" x14ac:dyDescent="0.25">
      <c r="A286" s="205">
        <v>91</v>
      </c>
      <c r="B286" s="331" t="s">
        <v>550</v>
      </c>
      <c r="C286" s="207">
        <f t="shared" si="27"/>
        <v>1</v>
      </c>
      <c r="D286" s="176">
        <v>1</v>
      </c>
      <c r="E286" s="176"/>
      <c r="F286" s="176"/>
      <c r="G286" s="207"/>
      <c r="H286" s="207"/>
      <c r="I286" s="165"/>
    </row>
    <row r="287" spans="1:9" ht="26.4" x14ac:dyDescent="0.25">
      <c r="A287" s="205">
        <v>92</v>
      </c>
      <c r="B287" s="331" t="s">
        <v>551</v>
      </c>
      <c r="C287" s="207">
        <f t="shared" si="27"/>
        <v>1</v>
      </c>
      <c r="D287" s="176">
        <v>1</v>
      </c>
      <c r="E287" s="176"/>
      <c r="F287" s="207"/>
      <c r="G287" s="207"/>
      <c r="H287" s="207"/>
      <c r="I287" s="165"/>
    </row>
    <row r="288" spans="1:9" ht="26.4" x14ac:dyDescent="0.25">
      <c r="A288" s="205">
        <v>93</v>
      </c>
      <c r="B288" s="329" t="s">
        <v>552</v>
      </c>
      <c r="C288" s="207">
        <f t="shared" si="27"/>
        <v>1</v>
      </c>
      <c r="D288" s="176">
        <v>1</v>
      </c>
      <c r="E288" s="176"/>
      <c r="F288" s="207"/>
      <c r="G288" s="207"/>
      <c r="H288" s="207"/>
      <c r="I288" s="165"/>
    </row>
    <row r="289" spans="1:9" ht="26.4" x14ac:dyDescent="0.25">
      <c r="A289" s="205">
        <v>94</v>
      </c>
      <c r="B289" s="329" t="s">
        <v>553</v>
      </c>
      <c r="C289" s="207">
        <f t="shared" si="27"/>
        <v>1</v>
      </c>
      <c r="D289" s="176">
        <v>1</v>
      </c>
      <c r="E289" s="176"/>
      <c r="F289" s="207"/>
      <c r="G289" s="207"/>
      <c r="H289" s="207"/>
      <c r="I289" s="165"/>
    </row>
    <row r="290" spans="1:9" ht="26.4" x14ac:dyDescent="0.25">
      <c r="A290" s="205">
        <v>95</v>
      </c>
      <c r="B290" s="329" t="s">
        <v>554</v>
      </c>
      <c r="C290" s="207">
        <f t="shared" si="27"/>
        <v>1</v>
      </c>
      <c r="D290" s="176">
        <v>1</v>
      </c>
      <c r="E290" s="176"/>
      <c r="F290" s="207"/>
      <c r="G290" s="207"/>
      <c r="H290" s="207"/>
      <c r="I290" s="165"/>
    </row>
    <row r="291" spans="1:9" ht="26.4" x14ac:dyDescent="0.25">
      <c r="A291" s="205">
        <v>96</v>
      </c>
      <c r="B291" s="328" t="s">
        <v>555</v>
      </c>
      <c r="C291" s="207">
        <f t="shared" si="27"/>
        <v>1</v>
      </c>
      <c r="D291" s="176">
        <v>1</v>
      </c>
      <c r="E291" s="176"/>
      <c r="F291" s="207"/>
      <c r="G291" s="207"/>
      <c r="H291" s="207"/>
      <c r="I291" s="165"/>
    </row>
    <row r="292" spans="1:9" ht="26.4" x14ac:dyDescent="0.25">
      <c r="A292" s="205">
        <v>97</v>
      </c>
      <c r="B292" s="329" t="s">
        <v>556</v>
      </c>
      <c r="C292" s="207">
        <f t="shared" si="27"/>
        <v>1</v>
      </c>
      <c r="D292" s="176">
        <v>1</v>
      </c>
      <c r="E292" s="176"/>
      <c r="F292" s="207"/>
      <c r="G292" s="207"/>
      <c r="H292" s="207"/>
      <c r="I292" s="165"/>
    </row>
    <row r="293" spans="1:9" ht="26.4" x14ac:dyDescent="0.25">
      <c r="A293" s="205">
        <v>98</v>
      </c>
      <c r="B293" s="331" t="s">
        <v>557</v>
      </c>
      <c r="C293" s="207">
        <f t="shared" si="27"/>
        <v>1</v>
      </c>
      <c r="D293" s="176">
        <v>1</v>
      </c>
      <c r="E293" s="176"/>
      <c r="F293" s="207"/>
      <c r="G293" s="207"/>
      <c r="H293" s="207"/>
      <c r="I293" s="165"/>
    </row>
    <row r="294" spans="1:9" ht="66" x14ac:dyDescent="0.25">
      <c r="A294" s="205">
        <v>99</v>
      </c>
      <c r="B294" s="329" t="s">
        <v>558</v>
      </c>
      <c r="C294" s="207">
        <f t="shared" si="27"/>
        <v>1</v>
      </c>
      <c r="D294" s="176">
        <v>1</v>
      </c>
      <c r="E294" s="176"/>
      <c r="F294" s="207"/>
      <c r="G294" s="207"/>
      <c r="H294" s="207"/>
      <c r="I294" s="165"/>
    </row>
    <row r="295" spans="1:9" ht="26.4" x14ac:dyDescent="0.25">
      <c r="A295" s="205">
        <v>100</v>
      </c>
      <c r="B295" s="329" t="s">
        <v>559</v>
      </c>
      <c r="C295" s="207">
        <f t="shared" si="27"/>
        <v>1</v>
      </c>
      <c r="D295" s="176">
        <v>1</v>
      </c>
      <c r="E295" s="176"/>
      <c r="F295" s="207"/>
      <c r="G295" s="207"/>
      <c r="H295" s="207"/>
      <c r="I295" s="165"/>
    </row>
    <row r="296" spans="1:9" ht="26.4" x14ac:dyDescent="0.25">
      <c r="A296" s="205">
        <v>101</v>
      </c>
      <c r="B296" s="329" t="s">
        <v>560</v>
      </c>
      <c r="C296" s="207">
        <f t="shared" si="27"/>
        <v>1</v>
      </c>
      <c r="D296" s="176">
        <v>1</v>
      </c>
      <c r="E296" s="176"/>
      <c r="F296" s="207"/>
      <c r="G296" s="207"/>
      <c r="H296" s="207"/>
      <c r="I296" s="165"/>
    </row>
    <row r="297" spans="1:9" ht="26.4" x14ac:dyDescent="0.25">
      <c r="A297" s="205">
        <v>102</v>
      </c>
      <c r="B297" s="329" t="s">
        <v>561</v>
      </c>
      <c r="C297" s="207">
        <f t="shared" si="27"/>
        <v>1</v>
      </c>
      <c r="D297" s="176">
        <v>1</v>
      </c>
      <c r="E297" s="176"/>
      <c r="F297" s="207"/>
      <c r="G297" s="207"/>
      <c r="H297" s="207"/>
      <c r="I297" s="165"/>
    </row>
    <row r="298" spans="1:9" x14ac:dyDescent="0.25">
      <c r="A298" s="205">
        <v>103</v>
      </c>
      <c r="B298" s="329" t="s">
        <v>562</v>
      </c>
      <c r="C298" s="207">
        <f t="shared" si="27"/>
        <v>1</v>
      </c>
      <c r="D298" s="176">
        <v>1</v>
      </c>
      <c r="E298" s="176"/>
      <c r="F298" s="207"/>
      <c r="G298" s="207"/>
      <c r="H298" s="207"/>
      <c r="I298" s="165"/>
    </row>
    <row r="299" spans="1:9" ht="26.4" x14ac:dyDescent="0.25">
      <c r="A299" s="205">
        <v>104</v>
      </c>
      <c r="B299" s="328" t="s">
        <v>563</v>
      </c>
      <c r="C299" s="207">
        <f t="shared" si="27"/>
        <v>1</v>
      </c>
      <c r="D299" s="176">
        <v>1</v>
      </c>
      <c r="E299" s="176"/>
      <c r="F299" s="207"/>
      <c r="G299" s="207"/>
      <c r="H299" s="207"/>
      <c r="I299" s="165"/>
    </row>
    <row r="300" spans="1:9" ht="26.4" x14ac:dyDescent="0.25">
      <c r="A300" s="205">
        <v>105</v>
      </c>
      <c r="B300" s="328" t="s">
        <v>564</v>
      </c>
      <c r="C300" s="207">
        <f t="shared" si="27"/>
        <v>1</v>
      </c>
      <c r="D300" s="176">
        <v>1</v>
      </c>
      <c r="E300" s="176"/>
      <c r="F300" s="207"/>
      <c r="G300" s="207"/>
      <c r="H300" s="207"/>
      <c r="I300" s="165"/>
    </row>
    <row r="301" spans="1:9" ht="39.6" x14ac:dyDescent="0.25">
      <c r="A301" s="205">
        <v>106</v>
      </c>
      <c r="B301" s="328" t="s">
        <v>565</v>
      </c>
      <c r="C301" s="207">
        <f t="shared" si="27"/>
        <v>1</v>
      </c>
      <c r="D301" s="176">
        <v>1</v>
      </c>
      <c r="E301" s="176"/>
      <c r="F301" s="207"/>
      <c r="G301" s="207"/>
      <c r="H301" s="207"/>
      <c r="I301" s="165"/>
    </row>
    <row r="302" spans="1:9" ht="26.4" x14ac:dyDescent="0.25">
      <c r="A302" s="205">
        <v>107</v>
      </c>
      <c r="B302" s="329" t="s">
        <v>566</v>
      </c>
      <c r="C302" s="207">
        <f t="shared" si="27"/>
        <v>1</v>
      </c>
      <c r="D302" s="176">
        <v>1</v>
      </c>
      <c r="E302" s="176"/>
      <c r="F302" s="207"/>
      <c r="G302" s="207"/>
      <c r="H302" s="207"/>
      <c r="I302" s="165"/>
    </row>
    <row r="303" spans="1:9" ht="26.4" x14ac:dyDescent="0.25">
      <c r="A303" s="205">
        <v>108</v>
      </c>
      <c r="B303" s="328" t="s">
        <v>567</v>
      </c>
      <c r="C303" s="207">
        <f t="shared" si="27"/>
        <v>1</v>
      </c>
      <c r="D303" s="176">
        <v>1</v>
      </c>
      <c r="E303" s="176"/>
      <c r="F303" s="207"/>
      <c r="G303" s="207"/>
      <c r="H303" s="207"/>
      <c r="I303" s="165"/>
    </row>
    <row r="304" spans="1:9" ht="26.4" x14ac:dyDescent="0.25">
      <c r="A304" s="205">
        <v>109</v>
      </c>
      <c r="B304" s="328" t="s">
        <v>568</v>
      </c>
      <c r="C304" s="207">
        <f t="shared" si="27"/>
        <v>1</v>
      </c>
      <c r="D304" s="176">
        <v>1</v>
      </c>
      <c r="E304" s="176"/>
      <c r="F304" s="207"/>
      <c r="G304" s="207"/>
      <c r="H304" s="207"/>
      <c r="I304" s="165"/>
    </row>
    <row r="305" spans="1:9" ht="26.4" x14ac:dyDescent="0.25">
      <c r="A305" s="205">
        <v>110</v>
      </c>
      <c r="B305" s="328" t="s">
        <v>569</v>
      </c>
      <c r="C305" s="207">
        <f t="shared" si="27"/>
        <v>1</v>
      </c>
      <c r="D305" s="176">
        <v>1</v>
      </c>
      <c r="E305" s="176"/>
      <c r="F305" s="207"/>
      <c r="G305" s="207"/>
      <c r="H305" s="207"/>
      <c r="I305" s="165"/>
    </row>
    <row r="306" spans="1:9" ht="26.4" x14ac:dyDescent="0.25">
      <c r="A306" s="205">
        <v>111</v>
      </c>
      <c r="B306" s="329" t="s">
        <v>570</v>
      </c>
      <c r="C306" s="207">
        <f t="shared" si="27"/>
        <v>1</v>
      </c>
      <c r="D306" s="176">
        <v>1</v>
      </c>
      <c r="E306" s="176"/>
      <c r="F306" s="207"/>
      <c r="G306" s="207"/>
      <c r="H306" s="207"/>
      <c r="I306" s="165"/>
    </row>
    <row r="307" spans="1:9" ht="26.4" x14ac:dyDescent="0.25">
      <c r="A307" s="205">
        <v>112</v>
      </c>
      <c r="B307" s="329" t="s">
        <v>571</v>
      </c>
      <c r="C307" s="207">
        <f t="shared" si="27"/>
        <v>1</v>
      </c>
      <c r="D307" s="176">
        <v>1</v>
      </c>
      <c r="E307" s="176"/>
      <c r="F307" s="207"/>
      <c r="G307" s="207"/>
      <c r="H307" s="207"/>
      <c r="I307" s="165"/>
    </row>
    <row r="308" spans="1:9" x14ac:dyDescent="0.25">
      <c r="A308" s="205">
        <v>113</v>
      </c>
      <c r="B308" s="329" t="s">
        <v>572</v>
      </c>
      <c r="C308" s="207">
        <f t="shared" si="27"/>
        <v>1</v>
      </c>
      <c r="D308" s="176">
        <v>1</v>
      </c>
      <c r="E308" s="176"/>
      <c r="F308" s="207"/>
      <c r="G308" s="207"/>
      <c r="H308" s="207"/>
      <c r="I308" s="165"/>
    </row>
    <row r="309" spans="1:9" ht="26.4" x14ac:dyDescent="0.25">
      <c r="A309" s="205">
        <v>114</v>
      </c>
      <c r="B309" s="329" t="s">
        <v>573</v>
      </c>
      <c r="C309" s="207">
        <f t="shared" si="27"/>
        <v>1</v>
      </c>
      <c r="D309" s="176">
        <v>1</v>
      </c>
      <c r="E309" s="176"/>
      <c r="F309" s="207"/>
      <c r="G309" s="207"/>
      <c r="H309" s="207"/>
      <c r="I309" s="165"/>
    </row>
    <row r="310" spans="1:9" ht="26.4" x14ac:dyDescent="0.25">
      <c r="A310" s="205">
        <v>115</v>
      </c>
      <c r="B310" s="328" t="s">
        <v>574</v>
      </c>
      <c r="C310" s="207">
        <f t="shared" si="27"/>
        <v>1</v>
      </c>
      <c r="D310" s="176">
        <v>1</v>
      </c>
      <c r="E310" s="176"/>
      <c r="F310" s="207"/>
      <c r="G310" s="207"/>
      <c r="H310" s="207"/>
      <c r="I310" s="165"/>
    </row>
    <row r="311" spans="1:9" ht="26.4" x14ac:dyDescent="0.25">
      <c r="A311" s="205">
        <v>116</v>
      </c>
      <c r="B311" s="329" t="s">
        <v>575</v>
      </c>
      <c r="C311" s="207">
        <f t="shared" si="27"/>
        <v>1</v>
      </c>
      <c r="D311" s="176">
        <v>1</v>
      </c>
      <c r="E311" s="176"/>
      <c r="F311" s="207"/>
      <c r="G311" s="207"/>
      <c r="H311" s="207"/>
      <c r="I311" s="165"/>
    </row>
    <row r="312" spans="1:9" x14ac:dyDescent="0.25">
      <c r="A312" s="205">
        <v>117</v>
      </c>
      <c r="B312" s="329" t="s">
        <v>576</v>
      </c>
      <c r="C312" s="207">
        <f t="shared" si="27"/>
        <v>1</v>
      </c>
      <c r="D312" s="176">
        <v>1</v>
      </c>
      <c r="E312" s="176"/>
      <c r="F312" s="207"/>
      <c r="G312" s="207"/>
      <c r="H312" s="207"/>
      <c r="I312" s="165"/>
    </row>
    <row r="313" spans="1:9" ht="26.4" x14ac:dyDescent="0.25">
      <c r="A313" s="205">
        <v>118</v>
      </c>
      <c r="B313" s="328" t="s">
        <v>577</v>
      </c>
      <c r="C313" s="207">
        <f t="shared" si="27"/>
        <v>1</v>
      </c>
      <c r="D313" s="176">
        <v>1</v>
      </c>
      <c r="E313" s="176"/>
      <c r="F313" s="207"/>
      <c r="G313" s="207"/>
      <c r="H313" s="207"/>
      <c r="I313" s="165"/>
    </row>
    <row r="314" spans="1:9" ht="26.4" x14ac:dyDescent="0.25">
      <c r="A314" s="205">
        <v>119</v>
      </c>
      <c r="B314" s="329" t="s">
        <v>578</v>
      </c>
      <c r="C314" s="207">
        <f t="shared" si="27"/>
        <v>1</v>
      </c>
      <c r="D314" s="176">
        <v>1</v>
      </c>
      <c r="E314" s="176"/>
      <c r="F314" s="207"/>
      <c r="G314" s="207"/>
      <c r="H314" s="207"/>
      <c r="I314" s="165"/>
    </row>
    <row r="315" spans="1:9" ht="26.4" x14ac:dyDescent="0.25">
      <c r="A315" s="205">
        <v>120</v>
      </c>
      <c r="B315" s="329" t="s">
        <v>579</v>
      </c>
      <c r="C315" s="207">
        <f t="shared" si="27"/>
        <v>1</v>
      </c>
      <c r="D315" s="176">
        <v>1</v>
      </c>
      <c r="E315" s="176"/>
      <c r="F315" s="207"/>
      <c r="G315" s="207"/>
      <c r="H315" s="207"/>
      <c r="I315" s="165"/>
    </row>
    <row r="316" spans="1:9" ht="26.4" x14ac:dyDescent="0.25">
      <c r="A316" s="205">
        <v>121</v>
      </c>
      <c r="B316" s="329" t="s">
        <v>580</v>
      </c>
      <c r="C316" s="207">
        <f t="shared" si="27"/>
        <v>1</v>
      </c>
      <c r="D316" s="176">
        <v>1</v>
      </c>
      <c r="E316" s="176"/>
      <c r="F316" s="207"/>
      <c r="G316" s="207"/>
      <c r="H316" s="207"/>
      <c r="I316" s="165"/>
    </row>
    <row r="317" spans="1:9" ht="26.4" x14ac:dyDescent="0.25">
      <c r="A317" s="205">
        <v>122</v>
      </c>
      <c r="B317" s="332" t="s">
        <v>581</v>
      </c>
      <c r="C317" s="207">
        <f t="shared" si="27"/>
        <v>1</v>
      </c>
      <c r="D317" s="176">
        <v>1</v>
      </c>
      <c r="E317" s="176"/>
      <c r="F317" s="207"/>
      <c r="G317" s="207"/>
      <c r="H317" s="207"/>
      <c r="I317" s="165"/>
    </row>
    <row r="318" spans="1:9" ht="26.4" x14ac:dyDescent="0.25">
      <c r="A318" s="205">
        <v>123</v>
      </c>
      <c r="B318" s="328" t="s">
        <v>582</v>
      </c>
      <c r="C318" s="207">
        <f t="shared" si="27"/>
        <v>1</v>
      </c>
      <c r="D318" s="176">
        <v>1</v>
      </c>
      <c r="E318" s="176"/>
      <c r="F318" s="207"/>
      <c r="G318" s="207"/>
      <c r="H318" s="207"/>
      <c r="I318" s="165"/>
    </row>
    <row r="319" spans="1:9" ht="26.4" x14ac:dyDescent="0.25">
      <c r="A319" s="205">
        <v>124</v>
      </c>
      <c r="B319" s="329" t="s">
        <v>583</v>
      </c>
      <c r="C319" s="207">
        <f t="shared" si="27"/>
        <v>1</v>
      </c>
      <c r="D319" s="176">
        <v>1</v>
      </c>
      <c r="E319" s="176"/>
      <c r="F319" s="207"/>
      <c r="G319" s="207"/>
      <c r="H319" s="207"/>
      <c r="I319" s="165"/>
    </row>
    <row r="320" spans="1:9" ht="26.4" x14ac:dyDescent="0.25">
      <c r="A320" s="205">
        <v>125</v>
      </c>
      <c r="B320" s="329" t="s">
        <v>584</v>
      </c>
      <c r="C320" s="207">
        <f t="shared" si="27"/>
        <v>1</v>
      </c>
      <c r="D320" s="176">
        <v>1</v>
      </c>
      <c r="E320" s="176"/>
      <c r="F320" s="207"/>
      <c r="G320" s="207"/>
      <c r="H320" s="207"/>
      <c r="I320" s="165"/>
    </row>
    <row r="321" spans="1:9" ht="26.4" x14ac:dyDescent="0.25">
      <c r="A321" s="205">
        <v>126</v>
      </c>
      <c r="B321" s="329" t="s">
        <v>585</v>
      </c>
      <c r="C321" s="207">
        <f t="shared" si="27"/>
        <v>1</v>
      </c>
      <c r="D321" s="176">
        <v>1</v>
      </c>
      <c r="E321" s="176"/>
      <c r="F321" s="207"/>
      <c r="G321" s="207"/>
      <c r="H321" s="207"/>
      <c r="I321" s="165"/>
    </row>
    <row r="322" spans="1:9" ht="26.4" x14ac:dyDescent="0.25">
      <c r="A322" s="205">
        <v>127</v>
      </c>
      <c r="B322" s="328" t="s">
        <v>586</v>
      </c>
      <c r="C322" s="207">
        <f t="shared" si="27"/>
        <v>1</v>
      </c>
      <c r="D322" s="176">
        <v>1</v>
      </c>
      <c r="E322" s="176"/>
      <c r="F322" s="207"/>
      <c r="G322" s="207"/>
      <c r="H322" s="207"/>
      <c r="I322" s="165"/>
    </row>
    <row r="323" spans="1:9" ht="26.4" x14ac:dyDescent="0.25">
      <c r="A323" s="205">
        <v>128</v>
      </c>
      <c r="B323" s="329" t="s">
        <v>587</v>
      </c>
      <c r="C323" s="207">
        <f t="shared" si="27"/>
        <v>1</v>
      </c>
      <c r="D323" s="176">
        <v>1</v>
      </c>
      <c r="E323" s="176"/>
      <c r="F323" s="207"/>
      <c r="G323" s="207"/>
      <c r="H323" s="207"/>
      <c r="I323" s="165"/>
    </row>
    <row r="324" spans="1:9" ht="26.4" x14ac:dyDescent="0.25">
      <c r="A324" s="205">
        <v>129</v>
      </c>
      <c r="B324" s="329" t="s">
        <v>588</v>
      </c>
      <c r="C324" s="207">
        <f t="shared" si="27"/>
        <v>1</v>
      </c>
      <c r="D324" s="176">
        <v>1</v>
      </c>
      <c r="E324" s="176"/>
      <c r="F324" s="207"/>
      <c r="G324" s="207"/>
      <c r="H324" s="207"/>
      <c r="I324" s="165"/>
    </row>
    <row r="325" spans="1:9" ht="39.6" x14ac:dyDescent="0.25">
      <c r="A325" s="205">
        <v>130</v>
      </c>
      <c r="B325" s="329" t="s">
        <v>589</v>
      </c>
      <c r="C325" s="207">
        <f t="shared" si="27"/>
        <v>1</v>
      </c>
      <c r="D325" s="176">
        <v>1</v>
      </c>
      <c r="E325" s="176"/>
      <c r="F325" s="207"/>
      <c r="G325" s="207"/>
      <c r="H325" s="207"/>
      <c r="I325" s="165"/>
    </row>
    <row r="326" spans="1:9" ht="39.6" x14ac:dyDescent="0.25">
      <c r="A326" s="205">
        <v>131</v>
      </c>
      <c r="B326" s="331" t="s">
        <v>590</v>
      </c>
      <c r="C326" s="207">
        <f t="shared" si="27"/>
        <v>1</v>
      </c>
      <c r="D326" s="176">
        <v>1</v>
      </c>
      <c r="E326" s="176"/>
      <c r="F326" s="207"/>
      <c r="G326" s="207"/>
      <c r="H326" s="207"/>
      <c r="I326" s="165"/>
    </row>
    <row r="327" spans="1:9" ht="52.8" x14ac:dyDescent="0.25">
      <c r="A327" s="205">
        <v>132</v>
      </c>
      <c r="B327" s="329" t="s">
        <v>591</v>
      </c>
      <c r="C327" s="207">
        <f t="shared" si="27"/>
        <v>1</v>
      </c>
      <c r="D327" s="176">
        <v>1</v>
      </c>
      <c r="E327" s="176"/>
      <c r="F327" s="207"/>
      <c r="G327" s="207"/>
      <c r="H327" s="207"/>
      <c r="I327" s="165"/>
    </row>
    <row r="328" spans="1:9" ht="26.4" x14ac:dyDescent="0.25">
      <c r="A328" s="205">
        <v>133</v>
      </c>
      <c r="B328" s="329" t="s">
        <v>592</v>
      </c>
      <c r="C328" s="207">
        <f t="shared" si="27"/>
        <v>1</v>
      </c>
      <c r="D328" s="176">
        <v>1</v>
      </c>
      <c r="E328" s="176"/>
      <c r="F328" s="207"/>
      <c r="G328" s="207"/>
      <c r="H328" s="207"/>
      <c r="I328" s="165"/>
    </row>
    <row r="329" spans="1:9" ht="26.4" x14ac:dyDescent="0.25">
      <c r="A329" s="205">
        <v>134</v>
      </c>
      <c r="B329" s="329" t="s">
        <v>593</v>
      </c>
      <c r="C329" s="207">
        <f t="shared" si="27"/>
        <v>1</v>
      </c>
      <c r="D329" s="176">
        <v>1</v>
      </c>
      <c r="E329" s="176"/>
      <c r="F329" s="207"/>
      <c r="G329" s="207"/>
      <c r="H329" s="207"/>
      <c r="I329" s="165"/>
    </row>
    <row r="330" spans="1:9" ht="26.4" x14ac:dyDescent="0.25">
      <c r="A330" s="205">
        <v>135</v>
      </c>
      <c r="B330" s="331" t="s">
        <v>594</v>
      </c>
      <c r="C330" s="207">
        <f t="shared" si="27"/>
        <v>1</v>
      </c>
      <c r="D330" s="176">
        <v>1</v>
      </c>
      <c r="E330" s="176"/>
      <c r="F330" s="207"/>
      <c r="G330" s="207"/>
      <c r="H330" s="207"/>
      <c r="I330" s="165"/>
    </row>
    <row r="331" spans="1:9" ht="26.4" x14ac:dyDescent="0.25">
      <c r="A331" s="205">
        <v>136</v>
      </c>
      <c r="B331" s="331" t="s">
        <v>595</v>
      </c>
      <c r="C331" s="207">
        <f t="shared" si="27"/>
        <v>1</v>
      </c>
      <c r="D331" s="176">
        <v>1</v>
      </c>
      <c r="E331" s="176"/>
      <c r="F331" s="207"/>
      <c r="G331" s="207"/>
      <c r="H331" s="207"/>
      <c r="I331" s="165"/>
    </row>
    <row r="332" spans="1:9" ht="26.4" x14ac:dyDescent="0.25">
      <c r="A332" s="205">
        <v>137</v>
      </c>
      <c r="B332" s="329" t="s">
        <v>596</v>
      </c>
      <c r="C332" s="207">
        <f t="shared" si="27"/>
        <v>1</v>
      </c>
      <c r="D332" s="176">
        <v>1</v>
      </c>
      <c r="E332" s="176"/>
      <c r="F332" s="207"/>
      <c r="G332" s="207"/>
      <c r="H332" s="207"/>
      <c r="I332" s="165"/>
    </row>
    <row r="333" spans="1:9" ht="26.4" x14ac:dyDescent="0.25">
      <c r="A333" s="205">
        <v>138</v>
      </c>
      <c r="B333" s="328" t="s">
        <v>597</v>
      </c>
      <c r="C333" s="207">
        <f t="shared" si="27"/>
        <v>1</v>
      </c>
      <c r="D333" s="176">
        <v>1</v>
      </c>
      <c r="E333" s="176"/>
      <c r="F333" s="207"/>
      <c r="G333" s="207"/>
      <c r="H333" s="207"/>
      <c r="I333" s="165"/>
    </row>
    <row r="334" spans="1:9" ht="26.4" x14ac:dyDescent="0.25">
      <c r="A334" s="205">
        <v>139</v>
      </c>
      <c r="B334" s="329" t="s">
        <v>598</v>
      </c>
      <c r="C334" s="207">
        <f t="shared" si="27"/>
        <v>1</v>
      </c>
      <c r="D334" s="176">
        <v>1</v>
      </c>
      <c r="E334" s="176"/>
      <c r="F334" s="207"/>
      <c r="G334" s="207"/>
      <c r="H334" s="207"/>
      <c r="I334" s="165"/>
    </row>
    <row r="335" spans="1:9" ht="26.4" x14ac:dyDescent="0.25">
      <c r="A335" s="205">
        <v>140</v>
      </c>
      <c r="B335" s="329" t="s">
        <v>599</v>
      </c>
      <c r="C335" s="207">
        <f t="shared" si="27"/>
        <v>1</v>
      </c>
      <c r="D335" s="176">
        <v>1</v>
      </c>
      <c r="E335" s="176"/>
      <c r="F335" s="207"/>
      <c r="G335" s="207"/>
      <c r="H335" s="207"/>
      <c r="I335" s="165"/>
    </row>
    <row r="336" spans="1:9" ht="26.4" x14ac:dyDescent="0.25">
      <c r="A336" s="205">
        <v>141</v>
      </c>
      <c r="B336" s="328" t="s">
        <v>600</v>
      </c>
      <c r="C336" s="207">
        <f t="shared" si="27"/>
        <v>1</v>
      </c>
      <c r="D336" s="176">
        <v>1</v>
      </c>
      <c r="E336" s="176"/>
      <c r="F336" s="207"/>
      <c r="G336" s="207"/>
      <c r="H336" s="207"/>
      <c r="I336" s="165"/>
    </row>
    <row r="337" spans="1:9" ht="26.4" x14ac:dyDescent="0.25">
      <c r="A337" s="205">
        <v>142</v>
      </c>
      <c r="B337" s="328" t="s">
        <v>601</v>
      </c>
      <c r="C337" s="207">
        <f t="shared" si="27"/>
        <v>1</v>
      </c>
      <c r="D337" s="176">
        <v>1</v>
      </c>
      <c r="E337" s="176"/>
      <c r="F337" s="207"/>
      <c r="G337" s="207"/>
      <c r="H337" s="207"/>
      <c r="I337" s="165"/>
    </row>
    <row r="338" spans="1:9" ht="26.4" x14ac:dyDescent="0.25">
      <c r="A338" s="205">
        <v>143</v>
      </c>
      <c r="B338" s="329" t="s">
        <v>602</v>
      </c>
      <c r="C338" s="207">
        <f t="shared" si="27"/>
        <v>1</v>
      </c>
      <c r="D338" s="176">
        <v>1</v>
      </c>
      <c r="E338" s="176"/>
      <c r="F338" s="207"/>
      <c r="G338" s="207"/>
      <c r="H338" s="207"/>
      <c r="I338" s="165"/>
    </row>
    <row r="339" spans="1:9" ht="26.4" x14ac:dyDescent="0.25">
      <c r="A339" s="205">
        <v>144</v>
      </c>
      <c r="B339" s="329" t="s">
        <v>603</v>
      </c>
      <c r="C339" s="207">
        <f t="shared" si="27"/>
        <v>1</v>
      </c>
      <c r="D339" s="176">
        <v>1</v>
      </c>
      <c r="E339" s="176"/>
      <c r="F339" s="207"/>
      <c r="G339" s="207"/>
      <c r="H339" s="207"/>
      <c r="I339" s="165"/>
    </row>
    <row r="340" spans="1:9" ht="26.4" x14ac:dyDescent="0.25">
      <c r="A340" s="205">
        <v>145</v>
      </c>
      <c r="B340" s="328" t="s">
        <v>604</v>
      </c>
      <c r="C340" s="207">
        <f t="shared" si="27"/>
        <v>1</v>
      </c>
      <c r="D340" s="176">
        <v>1</v>
      </c>
      <c r="E340" s="176"/>
      <c r="F340" s="207"/>
      <c r="G340" s="207"/>
      <c r="H340" s="207"/>
      <c r="I340" s="165"/>
    </row>
    <row r="341" spans="1:9" ht="26.4" x14ac:dyDescent="0.25">
      <c r="A341" s="205">
        <v>146</v>
      </c>
      <c r="B341" s="331" t="s">
        <v>605</v>
      </c>
      <c r="C341" s="207">
        <f t="shared" si="27"/>
        <v>1</v>
      </c>
      <c r="D341" s="176">
        <v>1</v>
      </c>
      <c r="E341" s="176"/>
      <c r="F341" s="207"/>
      <c r="G341" s="207"/>
      <c r="H341" s="207"/>
      <c r="I341" s="165"/>
    </row>
    <row r="342" spans="1:9" ht="26.4" x14ac:dyDescent="0.25">
      <c r="A342" s="205">
        <v>147</v>
      </c>
      <c r="B342" s="331" t="s">
        <v>606</v>
      </c>
      <c r="C342" s="207">
        <f t="shared" si="27"/>
        <v>1</v>
      </c>
      <c r="D342" s="176">
        <v>1</v>
      </c>
      <c r="E342" s="176"/>
      <c r="F342" s="207"/>
      <c r="G342" s="207"/>
      <c r="H342" s="207"/>
      <c r="I342" s="165"/>
    </row>
    <row r="343" spans="1:9" ht="26.4" x14ac:dyDescent="0.25">
      <c r="A343" s="205">
        <v>148</v>
      </c>
      <c r="B343" s="329" t="s">
        <v>607</v>
      </c>
      <c r="C343" s="207">
        <f t="shared" ref="C343:C365" si="28">SUM(D343:I343)</f>
        <v>1</v>
      </c>
      <c r="D343" s="176">
        <v>1</v>
      </c>
      <c r="E343" s="176"/>
      <c r="F343" s="207"/>
      <c r="G343" s="207"/>
      <c r="H343" s="207"/>
      <c r="I343" s="165"/>
    </row>
    <row r="344" spans="1:9" ht="26.4" x14ac:dyDescent="0.25">
      <c r="A344" s="205">
        <v>149</v>
      </c>
      <c r="B344" s="328" t="s">
        <v>608</v>
      </c>
      <c r="C344" s="207">
        <f t="shared" si="28"/>
        <v>1</v>
      </c>
      <c r="D344" s="176">
        <v>1</v>
      </c>
      <c r="E344" s="176"/>
      <c r="F344" s="207"/>
      <c r="G344" s="207"/>
      <c r="H344" s="207"/>
      <c r="I344" s="165"/>
    </row>
    <row r="345" spans="1:9" ht="26.4" x14ac:dyDescent="0.25">
      <c r="A345" s="205">
        <v>150</v>
      </c>
      <c r="B345" s="331" t="s">
        <v>609</v>
      </c>
      <c r="C345" s="207">
        <f t="shared" si="28"/>
        <v>1</v>
      </c>
      <c r="D345" s="176">
        <v>1</v>
      </c>
      <c r="E345" s="176"/>
      <c r="F345" s="207"/>
      <c r="G345" s="207"/>
      <c r="H345" s="207"/>
      <c r="I345" s="165"/>
    </row>
    <row r="346" spans="1:9" ht="26.4" x14ac:dyDescent="0.25">
      <c r="A346" s="205">
        <v>151</v>
      </c>
      <c r="B346" s="329" t="s">
        <v>610</v>
      </c>
      <c r="C346" s="207">
        <f t="shared" si="28"/>
        <v>1</v>
      </c>
      <c r="D346" s="176">
        <v>1</v>
      </c>
      <c r="E346" s="176"/>
      <c r="F346" s="207"/>
      <c r="G346" s="207"/>
      <c r="H346" s="207"/>
      <c r="I346" s="165"/>
    </row>
    <row r="347" spans="1:9" ht="26.4" x14ac:dyDescent="0.25">
      <c r="A347" s="205">
        <v>152</v>
      </c>
      <c r="B347" s="329" t="s">
        <v>611</v>
      </c>
      <c r="C347" s="207">
        <f t="shared" si="28"/>
        <v>1</v>
      </c>
      <c r="D347" s="176">
        <v>1</v>
      </c>
      <c r="E347" s="176"/>
      <c r="F347" s="207"/>
      <c r="G347" s="207"/>
      <c r="H347" s="207"/>
      <c r="I347" s="165"/>
    </row>
    <row r="348" spans="1:9" ht="26.4" x14ac:dyDescent="0.25">
      <c r="A348" s="205">
        <v>153</v>
      </c>
      <c r="B348" s="329" t="s">
        <v>612</v>
      </c>
      <c r="C348" s="207">
        <f t="shared" si="28"/>
        <v>1</v>
      </c>
      <c r="D348" s="176">
        <v>1</v>
      </c>
      <c r="E348" s="176"/>
      <c r="F348" s="207"/>
      <c r="G348" s="207"/>
      <c r="H348" s="207"/>
      <c r="I348" s="165"/>
    </row>
    <row r="349" spans="1:9" ht="26.4" x14ac:dyDescent="0.25">
      <c r="A349" s="205">
        <v>154</v>
      </c>
      <c r="B349" s="329" t="s">
        <v>613</v>
      </c>
      <c r="C349" s="207">
        <f t="shared" si="28"/>
        <v>1</v>
      </c>
      <c r="D349" s="176">
        <v>1</v>
      </c>
      <c r="E349" s="176"/>
      <c r="F349" s="207"/>
      <c r="G349" s="207"/>
      <c r="H349" s="207"/>
      <c r="I349" s="165"/>
    </row>
    <row r="350" spans="1:9" ht="26.4" x14ac:dyDescent="0.25">
      <c r="A350" s="205">
        <v>155</v>
      </c>
      <c r="B350" s="329" t="s">
        <v>614</v>
      </c>
      <c r="C350" s="207">
        <f t="shared" si="28"/>
        <v>1</v>
      </c>
      <c r="D350" s="176">
        <v>1</v>
      </c>
      <c r="E350" s="176"/>
      <c r="F350" s="207"/>
      <c r="G350" s="207"/>
      <c r="H350" s="207"/>
      <c r="I350" s="165"/>
    </row>
    <row r="351" spans="1:9" ht="26.4" x14ac:dyDescent="0.25">
      <c r="A351" s="205">
        <v>156</v>
      </c>
      <c r="B351" s="329" t="s">
        <v>615</v>
      </c>
      <c r="C351" s="207">
        <f t="shared" si="28"/>
        <v>1</v>
      </c>
      <c r="D351" s="176">
        <v>1</v>
      </c>
      <c r="E351" s="176"/>
      <c r="F351" s="207"/>
      <c r="G351" s="207"/>
      <c r="H351" s="207"/>
      <c r="I351" s="165"/>
    </row>
    <row r="352" spans="1:9" ht="26.4" x14ac:dyDescent="0.25">
      <c r="A352" s="205">
        <v>157</v>
      </c>
      <c r="B352" s="328" t="s">
        <v>616</v>
      </c>
      <c r="C352" s="207">
        <f t="shared" si="28"/>
        <v>1</v>
      </c>
      <c r="D352" s="176">
        <v>1</v>
      </c>
      <c r="E352" s="176"/>
      <c r="F352" s="207"/>
      <c r="G352" s="207"/>
      <c r="H352" s="207"/>
      <c r="I352" s="165"/>
    </row>
    <row r="353" spans="1:9" ht="26.4" x14ac:dyDescent="0.25">
      <c r="A353" s="205">
        <v>158</v>
      </c>
      <c r="B353" s="329" t="s">
        <v>617</v>
      </c>
      <c r="C353" s="207">
        <f t="shared" si="28"/>
        <v>1</v>
      </c>
      <c r="D353" s="176">
        <v>1</v>
      </c>
      <c r="E353" s="176"/>
      <c r="F353" s="207"/>
      <c r="G353" s="207"/>
      <c r="H353" s="207"/>
      <c r="I353" s="165"/>
    </row>
    <row r="354" spans="1:9" ht="26.4" x14ac:dyDescent="0.25">
      <c r="A354" s="205">
        <v>159</v>
      </c>
      <c r="B354" s="329" t="s">
        <v>618</v>
      </c>
      <c r="C354" s="207">
        <f t="shared" si="28"/>
        <v>1</v>
      </c>
      <c r="D354" s="176">
        <v>1</v>
      </c>
      <c r="E354" s="176"/>
      <c r="F354" s="207"/>
      <c r="G354" s="207"/>
      <c r="H354" s="207"/>
      <c r="I354" s="165"/>
    </row>
    <row r="355" spans="1:9" ht="26.4" x14ac:dyDescent="0.25">
      <c r="A355" s="205">
        <v>160</v>
      </c>
      <c r="B355" s="329" t="s">
        <v>619</v>
      </c>
      <c r="C355" s="207">
        <f t="shared" si="28"/>
        <v>1</v>
      </c>
      <c r="D355" s="176">
        <v>1</v>
      </c>
      <c r="E355" s="176"/>
      <c r="F355" s="207"/>
      <c r="G355" s="207"/>
      <c r="H355" s="207"/>
      <c r="I355" s="165"/>
    </row>
    <row r="356" spans="1:9" ht="66" x14ac:dyDescent="0.25">
      <c r="A356" s="205">
        <v>161</v>
      </c>
      <c r="B356" s="329" t="s">
        <v>620</v>
      </c>
      <c r="C356" s="207">
        <f t="shared" si="28"/>
        <v>1</v>
      </c>
      <c r="D356" s="176">
        <v>1</v>
      </c>
      <c r="E356" s="176"/>
      <c r="F356" s="207"/>
      <c r="G356" s="207"/>
      <c r="H356" s="207"/>
      <c r="I356" s="165"/>
    </row>
    <row r="357" spans="1:9" ht="145.19999999999999" x14ac:dyDescent="0.25">
      <c r="A357" s="205">
        <v>162</v>
      </c>
      <c r="B357" s="329" t="s">
        <v>621</v>
      </c>
      <c r="C357" s="207">
        <f t="shared" si="28"/>
        <v>2000</v>
      </c>
      <c r="D357" s="176">
        <v>2000</v>
      </c>
      <c r="E357" s="176"/>
      <c r="F357" s="207"/>
      <c r="G357" s="207"/>
      <c r="H357" s="207"/>
      <c r="I357" s="165"/>
    </row>
    <row r="358" spans="1:9" ht="145.19999999999999" x14ac:dyDescent="0.25">
      <c r="A358" s="205">
        <v>163</v>
      </c>
      <c r="B358" s="329" t="s">
        <v>622</v>
      </c>
      <c r="C358" s="207">
        <f t="shared" si="28"/>
        <v>1000</v>
      </c>
      <c r="D358" s="176">
        <v>1000</v>
      </c>
      <c r="E358" s="176"/>
      <c r="F358" s="207"/>
      <c r="G358" s="207"/>
      <c r="H358" s="207"/>
      <c r="I358" s="165"/>
    </row>
    <row r="359" spans="1:9" ht="118.8" x14ac:dyDescent="0.25">
      <c r="A359" s="205">
        <v>164</v>
      </c>
      <c r="B359" s="329" t="s">
        <v>623</v>
      </c>
      <c r="C359" s="207">
        <f t="shared" si="28"/>
        <v>1000</v>
      </c>
      <c r="D359" s="176">
        <v>1000</v>
      </c>
      <c r="E359" s="176"/>
      <c r="F359" s="207"/>
      <c r="G359" s="207"/>
      <c r="H359" s="207"/>
      <c r="I359" s="165"/>
    </row>
    <row r="360" spans="1:9" ht="66" x14ac:dyDescent="0.25">
      <c r="A360" s="205">
        <v>165</v>
      </c>
      <c r="B360" s="329" t="s">
        <v>624</v>
      </c>
      <c r="C360" s="207">
        <f t="shared" si="28"/>
        <v>150</v>
      </c>
      <c r="D360" s="176">
        <v>150</v>
      </c>
      <c r="E360" s="176"/>
      <c r="F360" s="207"/>
      <c r="G360" s="207"/>
      <c r="H360" s="207"/>
      <c r="I360" s="165"/>
    </row>
    <row r="361" spans="1:9" ht="39.6" x14ac:dyDescent="0.25">
      <c r="A361" s="205">
        <v>166</v>
      </c>
      <c r="B361" s="329" t="s">
        <v>625</v>
      </c>
      <c r="C361" s="207">
        <f t="shared" si="28"/>
        <v>500</v>
      </c>
      <c r="D361" s="176">
        <v>500</v>
      </c>
      <c r="E361" s="176"/>
      <c r="F361" s="207"/>
      <c r="G361" s="207"/>
      <c r="H361" s="207"/>
      <c r="I361" s="165"/>
    </row>
    <row r="362" spans="1:9" ht="52.8" x14ac:dyDescent="0.25">
      <c r="A362" s="205">
        <v>167</v>
      </c>
      <c r="B362" s="329" t="s">
        <v>626</v>
      </c>
      <c r="C362" s="207">
        <f t="shared" si="28"/>
        <v>300</v>
      </c>
      <c r="D362" s="176">
        <v>300</v>
      </c>
      <c r="E362" s="176"/>
      <c r="F362" s="207"/>
      <c r="G362" s="207"/>
      <c r="H362" s="207"/>
      <c r="I362" s="165"/>
    </row>
    <row r="363" spans="1:9" ht="52.8" x14ac:dyDescent="0.25">
      <c r="A363" s="205">
        <v>168</v>
      </c>
      <c r="B363" s="329" t="s">
        <v>627</v>
      </c>
      <c r="C363" s="207">
        <f t="shared" si="28"/>
        <v>2500</v>
      </c>
      <c r="D363" s="176">
        <v>2500</v>
      </c>
      <c r="E363" s="176"/>
      <c r="F363" s="207"/>
      <c r="G363" s="207"/>
      <c r="H363" s="207"/>
      <c r="I363" s="165"/>
    </row>
    <row r="364" spans="1:9" ht="39.6" x14ac:dyDescent="0.25">
      <c r="A364" s="205">
        <v>169</v>
      </c>
      <c r="B364" s="329" t="s">
        <v>628</v>
      </c>
      <c r="C364" s="207">
        <f t="shared" si="28"/>
        <v>100</v>
      </c>
      <c r="D364" s="176">
        <v>100</v>
      </c>
      <c r="E364" s="176"/>
      <c r="F364" s="207"/>
      <c r="G364" s="207"/>
      <c r="H364" s="207"/>
      <c r="I364" s="165"/>
    </row>
    <row r="365" spans="1:9" x14ac:dyDescent="0.25">
      <c r="A365" s="205">
        <v>170</v>
      </c>
      <c r="B365" s="329" t="s">
        <v>629</v>
      </c>
      <c r="C365" s="207">
        <f t="shared" si="28"/>
        <v>638</v>
      </c>
      <c r="D365" s="176">
        <v>638</v>
      </c>
      <c r="E365" s="176"/>
      <c r="F365" s="207"/>
      <c r="G365" s="207"/>
      <c r="H365" s="207"/>
      <c r="I365" s="165"/>
    </row>
    <row r="366" spans="1:9" x14ac:dyDescent="0.25">
      <c r="A366" s="205"/>
      <c r="B366" s="318" t="s">
        <v>630</v>
      </c>
      <c r="C366" s="207">
        <f>C367</f>
        <v>50</v>
      </c>
      <c r="D366" s="207">
        <f t="shared" ref="D366:I366" si="29">D367</f>
        <v>50</v>
      </c>
      <c r="E366" s="207">
        <f t="shared" si="29"/>
        <v>0</v>
      </c>
      <c r="F366" s="207">
        <f t="shared" si="29"/>
        <v>0</v>
      </c>
      <c r="G366" s="207">
        <f t="shared" si="29"/>
        <v>0</v>
      </c>
      <c r="H366" s="207">
        <f t="shared" si="29"/>
        <v>0</v>
      </c>
      <c r="I366" s="224">
        <f t="shared" si="29"/>
        <v>0</v>
      </c>
    </row>
    <row r="367" spans="1:9" ht="13.8" thickBot="1" x14ac:dyDescent="0.3">
      <c r="A367" s="212">
        <v>1</v>
      </c>
      <c r="B367" s="333" t="s">
        <v>631</v>
      </c>
      <c r="C367" s="214">
        <f t="shared" ref="C367" si="30">SUM(D367:I367)</f>
        <v>50</v>
      </c>
      <c r="D367" s="229">
        <v>50</v>
      </c>
      <c r="E367" s="229"/>
      <c r="F367" s="214"/>
      <c r="G367" s="214"/>
      <c r="H367" s="214"/>
      <c r="I367" s="334"/>
    </row>
    <row r="368" spans="1:9" ht="13.8" thickBot="1" x14ac:dyDescent="0.3">
      <c r="A368" s="217" t="s">
        <v>293</v>
      </c>
      <c r="B368" s="335" t="s">
        <v>294</v>
      </c>
      <c r="C368" s="219">
        <f>SUM(C369:C491)</f>
        <v>52939.849999999991</v>
      </c>
      <c r="D368" s="219">
        <f>SUM(D369:D491)</f>
        <v>52939.849999999991</v>
      </c>
      <c r="E368" s="219">
        <f>SUM(E369:E491)</f>
        <v>0</v>
      </c>
      <c r="F368" s="219">
        <f>SUM(F369:F491)</f>
        <v>0</v>
      </c>
      <c r="G368" s="219">
        <f>SUM(G369:G491)</f>
        <v>0</v>
      </c>
      <c r="H368" s="336"/>
      <c r="I368" s="219">
        <f>SUM(I369:I491)</f>
        <v>0</v>
      </c>
    </row>
    <row r="369" spans="1:9" x14ac:dyDescent="0.25">
      <c r="A369" s="199">
        <v>1</v>
      </c>
      <c r="B369" s="337" t="s">
        <v>632</v>
      </c>
      <c r="C369" s="201">
        <f t="shared" ref="C369:C432" si="31">SUM(D369:I369)</f>
        <v>130.99</v>
      </c>
      <c r="D369" s="202">
        <v>130.99</v>
      </c>
      <c r="E369" s="202"/>
      <c r="F369" s="202"/>
      <c r="G369" s="201"/>
      <c r="H369" s="201"/>
      <c r="I369" s="222"/>
    </row>
    <row r="370" spans="1:9" ht="26.4" x14ac:dyDescent="0.25">
      <c r="A370" s="205">
        <v>2</v>
      </c>
      <c r="B370" s="223" t="s">
        <v>633</v>
      </c>
      <c r="C370" s="207">
        <f t="shared" si="31"/>
        <v>1</v>
      </c>
      <c r="D370" s="176">
        <v>1</v>
      </c>
      <c r="E370" s="176"/>
      <c r="F370" s="176"/>
      <c r="G370" s="207"/>
      <c r="H370" s="207"/>
      <c r="I370" s="224"/>
    </row>
    <row r="371" spans="1:9" ht="39.6" x14ac:dyDescent="0.25">
      <c r="A371" s="205">
        <v>3</v>
      </c>
      <c r="B371" s="223" t="s">
        <v>634</v>
      </c>
      <c r="C371" s="207">
        <f t="shared" si="31"/>
        <v>1</v>
      </c>
      <c r="D371" s="176">
        <v>1</v>
      </c>
      <c r="E371" s="176"/>
      <c r="F371" s="176"/>
      <c r="G371" s="207"/>
      <c r="H371" s="207"/>
      <c r="I371" s="224"/>
    </row>
    <row r="372" spans="1:9" ht="39.6" x14ac:dyDescent="0.25">
      <c r="A372" s="205">
        <v>4</v>
      </c>
      <c r="B372" s="223" t="s">
        <v>635</v>
      </c>
      <c r="C372" s="207">
        <f t="shared" si="31"/>
        <v>1</v>
      </c>
      <c r="D372" s="176">
        <v>1</v>
      </c>
      <c r="E372" s="176"/>
      <c r="F372" s="176"/>
      <c r="G372" s="207"/>
      <c r="H372" s="207"/>
      <c r="I372" s="224"/>
    </row>
    <row r="373" spans="1:9" ht="39.6" x14ac:dyDescent="0.25">
      <c r="A373" s="205">
        <v>5</v>
      </c>
      <c r="B373" s="223" t="s">
        <v>636</v>
      </c>
      <c r="C373" s="207">
        <f t="shared" si="31"/>
        <v>1</v>
      </c>
      <c r="D373" s="176">
        <v>1</v>
      </c>
      <c r="E373" s="176"/>
      <c r="F373" s="176"/>
      <c r="G373" s="207"/>
      <c r="H373" s="207"/>
      <c r="I373" s="224"/>
    </row>
    <row r="374" spans="1:9" ht="39.6" x14ac:dyDescent="0.25">
      <c r="A374" s="205">
        <v>6</v>
      </c>
      <c r="B374" s="223" t="s">
        <v>637</v>
      </c>
      <c r="C374" s="207">
        <f t="shared" si="31"/>
        <v>10</v>
      </c>
      <c r="D374" s="176">
        <v>10</v>
      </c>
      <c r="E374" s="176"/>
      <c r="F374" s="176"/>
      <c r="G374" s="207"/>
      <c r="H374" s="207"/>
      <c r="I374" s="224"/>
    </row>
    <row r="375" spans="1:9" ht="52.8" x14ac:dyDescent="0.25">
      <c r="A375" s="205">
        <v>7</v>
      </c>
      <c r="B375" s="223" t="s">
        <v>638</v>
      </c>
      <c r="C375" s="207">
        <f t="shared" si="31"/>
        <v>100</v>
      </c>
      <c r="D375" s="176">
        <v>100</v>
      </c>
      <c r="E375" s="176"/>
      <c r="F375" s="176"/>
      <c r="G375" s="207"/>
      <c r="H375" s="207"/>
      <c r="I375" s="224"/>
    </row>
    <row r="376" spans="1:9" ht="52.8" x14ac:dyDescent="0.25">
      <c r="A376" s="205">
        <v>8</v>
      </c>
      <c r="B376" s="223" t="s">
        <v>639</v>
      </c>
      <c r="C376" s="207">
        <f t="shared" si="31"/>
        <v>11</v>
      </c>
      <c r="D376" s="176">
        <v>11</v>
      </c>
      <c r="E376" s="176"/>
      <c r="F376" s="176"/>
      <c r="G376" s="207"/>
      <c r="H376" s="207"/>
      <c r="I376" s="224"/>
    </row>
    <row r="377" spans="1:9" ht="52.8" x14ac:dyDescent="0.25">
      <c r="A377" s="205">
        <v>9</v>
      </c>
      <c r="B377" s="223" t="s">
        <v>640</v>
      </c>
      <c r="C377" s="207">
        <f t="shared" si="31"/>
        <v>124.68</v>
      </c>
      <c r="D377" s="176">
        <v>124.68</v>
      </c>
      <c r="E377" s="176"/>
      <c r="F377" s="176"/>
      <c r="G377" s="207"/>
      <c r="H377" s="207"/>
      <c r="I377" s="224"/>
    </row>
    <row r="378" spans="1:9" ht="39.6" x14ac:dyDescent="0.25">
      <c r="A378" s="205">
        <v>10</v>
      </c>
      <c r="B378" s="223" t="s">
        <v>641</v>
      </c>
      <c r="C378" s="207">
        <f t="shared" si="31"/>
        <v>160</v>
      </c>
      <c r="D378" s="176">
        <v>160</v>
      </c>
      <c r="E378" s="176"/>
      <c r="F378" s="176"/>
      <c r="G378" s="207"/>
      <c r="H378" s="207"/>
      <c r="I378" s="224"/>
    </row>
    <row r="379" spans="1:9" ht="39.6" x14ac:dyDescent="0.25">
      <c r="A379" s="205">
        <v>11</v>
      </c>
      <c r="B379" s="223" t="s">
        <v>642</v>
      </c>
      <c r="C379" s="207">
        <f t="shared" si="31"/>
        <v>1</v>
      </c>
      <c r="D379" s="176">
        <v>1</v>
      </c>
      <c r="E379" s="176"/>
      <c r="F379" s="176"/>
      <c r="G379" s="207"/>
      <c r="H379" s="207"/>
      <c r="I379" s="224"/>
    </row>
    <row r="380" spans="1:9" ht="39.6" x14ac:dyDescent="0.25">
      <c r="A380" s="205">
        <v>12</v>
      </c>
      <c r="B380" s="223" t="s">
        <v>643</v>
      </c>
      <c r="C380" s="207">
        <f t="shared" si="31"/>
        <v>500</v>
      </c>
      <c r="D380" s="176">
        <v>500</v>
      </c>
      <c r="E380" s="176"/>
      <c r="F380" s="176"/>
      <c r="G380" s="207"/>
      <c r="H380" s="207"/>
      <c r="I380" s="224"/>
    </row>
    <row r="381" spans="1:9" ht="26.4" x14ac:dyDescent="0.25">
      <c r="A381" s="205">
        <v>13</v>
      </c>
      <c r="B381" s="322" t="s">
        <v>644</v>
      </c>
      <c r="C381" s="207">
        <f t="shared" si="31"/>
        <v>300</v>
      </c>
      <c r="D381" s="176">
        <v>300</v>
      </c>
      <c r="E381" s="176"/>
      <c r="F381" s="176"/>
      <c r="G381" s="207"/>
      <c r="H381" s="207"/>
      <c r="I381" s="224"/>
    </row>
    <row r="382" spans="1:9" x14ac:dyDescent="0.25">
      <c r="A382" s="205">
        <v>14</v>
      </c>
      <c r="B382" s="322" t="s">
        <v>645</v>
      </c>
      <c r="C382" s="207">
        <f t="shared" si="31"/>
        <v>300</v>
      </c>
      <c r="D382" s="176">
        <v>300</v>
      </c>
      <c r="E382" s="176"/>
      <c r="F382" s="176"/>
      <c r="G382" s="207"/>
      <c r="H382" s="207"/>
      <c r="I382" s="224"/>
    </row>
    <row r="383" spans="1:9" x14ac:dyDescent="0.25">
      <c r="A383" s="205">
        <v>15</v>
      </c>
      <c r="B383" s="322" t="s">
        <v>646</v>
      </c>
      <c r="C383" s="207">
        <f t="shared" si="31"/>
        <v>90</v>
      </c>
      <c r="D383" s="176">
        <v>90</v>
      </c>
      <c r="E383" s="176"/>
      <c r="F383" s="176"/>
      <c r="G383" s="207"/>
      <c r="H383" s="207"/>
      <c r="I383" s="224"/>
    </row>
    <row r="384" spans="1:9" ht="39.6" x14ac:dyDescent="0.25">
      <c r="A384" s="205">
        <v>16</v>
      </c>
      <c r="B384" s="223" t="s">
        <v>647</v>
      </c>
      <c r="C384" s="207">
        <f t="shared" si="31"/>
        <v>150</v>
      </c>
      <c r="D384" s="176">
        <v>150</v>
      </c>
      <c r="E384" s="176"/>
      <c r="F384" s="176"/>
      <c r="G384" s="207"/>
      <c r="H384" s="207"/>
      <c r="I384" s="224"/>
    </row>
    <row r="385" spans="1:9" ht="26.4" x14ac:dyDescent="0.25">
      <c r="A385" s="205">
        <v>17</v>
      </c>
      <c r="B385" s="223" t="s">
        <v>648</v>
      </c>
      <c r="C385" s="207">
        <f t="shared" si="31"/>
        <v>1</v>
      </c>
      <c r="D385" s="176">
        <v>1</v>
      </c>
      <c r="E385" s="176"/>
      <c r="F385" s="176"/>
      <c r="G385" s="207"/>
      <c r="H385" s="207"/>
      <c r="I385" s="224"/>
    </row>
    <row r="386" spans="1:9" ht="66" x14ac:dyDescent="0.25">
      <c r="A386" s="205">
        <v>18</v>
      </c>
      <c r="B386" s="223" t="s">
        <v>649</v>
      </c>
      <c r="C386" s="207">
        <f t="shared" si="31"/>
        <v>1</v>
      </c>
      <c r="D386" s="176">
        <v>1</v>
      </c>
      <c r="E386" s="176"/>
      <c r="F386" s="176"/>
      <c r="G386" s="207"/>
      <c r="H386" s="207"/>
      <c r="I386" s="224"/>
    </row>
    <row r="387" spans="1:9" ht="26.4" x14ac:dyDescent="0.25">
      <c r="A387" s="205">
        <v>19</v>
      </c>
      <c r="B387" s="223" t="s">
        <v>650</v>
      </c>
      <c r="C387" s="207">
        <f t="shared" si="31"/>
        <v>70</v>
      </c>
      <c r="D387" s="176">
        <v>70</v>
      </c>
      <c r="E387" s="176"/>
      <c r="F387" s="176"/>
      <c r="G387" s="207"/>
      <c r="H387" s="207"/>
      <c r="I387" s="224"/>
    </row>
    <row r="388" spans="1:9" x14ac:dyDescent="0.25">
      <c r="A388" s="205">
        <v>20</v>
      </c>
      <c r="B388" s="223" t="s">
        <v>651</v>
      </c>
      <c r="C388" s="207">
        <f t="shared" si="31"/>
        <v>150</v>
      </c>
      <c r="D388" s="176">
        <v>150</v>
      </c>
      <c r="E388" s="176"/>
      <c r="F388" s="176"/>
      <c r="G388" s="207"/>
      <c r="H388" s="207"/>
      <c r="I388" s="224"/>
    </row>
    <row r="389" spans="1:9" ht="52.8" x14ac:dyDescent="0.25">
      <c r="A389" s="205">
        <v>21</v>
      </c>
      <c r="B389" s="223" t="s">
        <v>652</v>
      </c>
      <c r="C389" s="207">
        <f t="shared" si="31"/>
        <v>36.299999999999997</v>
      </c>
      <c r="D389" s="176">
        <v>36.299999999999997</v>
      </c>
      <c r="E389" s="176"/>
      <c r="F389" s="176"/>
      <c r="G389" s="207"/>
      <c r="H389" s="207"/>
      <c r="I389" s="224"/>
    </row>
    <row r="390" spans="1:9" ht="52.8" x14ac:dyDescent="0.25">
      <c r="A390" s="205">
        <v>22</v>
      </c>
      <c r="B390" s="223" t="s">
        <v>653</v>
      </c>
      <c r="C390" s="207">
        <f t="shared" si="31"/>
        <v>325</v>
      </c>
      <c r="D390" s="176">
        <v>325</v>
      </c>
      <c r="E390" s="176"/>
      <c r="F390" s="176"/>
      <c r="G390" s="207"/>
      <c r="H390" s="207"/>
      <c r="I390" s="224"/>
    </row>
    <row r="391" spans="1:9" x14ac:dyDescent="0.25">
      <c r="A391" s="205">
        <v>23</v>
      </c>
      <c r="B391" s="223" t="s">
        <v>654</v>
      </c>
      <c r="C391" s="207">
        <f t="shared" si="31"/>
        <v>325</v>
      </c>
      <c r="D391" s="176">
        <v>325</v>
      </c>
      <c r="E391" s="176"/>
      <c r="F391" s="176"/>
      <c r="G391" s="207"/>
      <c r="H391" s="207"/>
      <c r="I391" s="224"/>
    </row>
    <row r="392" spans="1:9" ht="26.4" x14ac:dyDescent="0.25">
      <c r="A392" s="205">
        <v>24</v>
      </c>
      <c r="B392" s="223" t="s">
        <v>655</v>
      </c>
      <c r="C392" s="207">
        <f t="shared" si="31"/>
        <v>300</v>
      </c>
      <c r="D392" s="176">
        <v>300</v>
      </c>
      <c r="E392" s="176"/>
      <c r="F392" s="338"/>
      <c r="G392" s="207"/>
      <c r="H392" s="207"/>
      <c r="I392" s="224"/>
    </row>
    <row r="393" spans="1:9" ht="26.4" x14ac:dyDescent="0.25">
      <c r="A393" s="205">
        <v>25</v>
      </c>
      <c r="B393" s="223" t="s">
        <v>656</v>
      </c>
      <c r="C393" s="207">
        <f t="shared" si="31"/>
        <v>100</v>
      </c>
      <c r="D393" s="176">
        <v>100</v>
      </c>
      <c r="E393" s="176"/>
      <c r="F393" s="176"/>
      <c r="G393" s="207"/>
      <c r="H393" s="207"/>
      <c r="I393" s="224"/>
    </row>
    <row r="394" spans="1:9" ht="26.4" x14ac:dyDescent="0.25">
      <c r="A394" s="205">
        <v>26</v>
      </c>
      <c r="B394" s="223" t="s">
        <v>657</v>
      </c>
      <c r="C394" s="207">
        <f t="shared" si="31"/>
        <v>35</v>
      </c>
      <c r="D394" s="176">
        <v>35</v>
      </c>
      <c r="E394" s="176"/>
      <c r="F394" s="176"/>
      <c r="G394" s="207"/>
      <c r="H394" s="207"/>
      <c r="I394" s="224"/>
    </row>
    <row r="395" spans="1:9" ht="26.4" x14ac:dyDescent="0.25">
      <c r="A395" s="205">
        <v>27</v>
      </c>
      <c r="B395" s="223" t="s">
        <v>658</v>
      </c>
      <c r="C395" s="207">
        <f t="shared" si="31"/>
        <v>30</v>
      </c>
      <c r="D395" s="176">
        <v>30</v>
      </c>
      <c r="E395" s="176"/>
      <c r="F395" s="176"/>
      <c r="G395" s="207"/>
      <c r="H395" s="207"/>
      <c r="I395" s="224"/>
    </row>
    <row r="396" spans="1:9" ht="52.8" x14ac:dyDescent="0.25">
      <c r="A396" s="205">
        <v>28</v>
      </c>
      <c r="B396" s="223" t="s">
        <v>659</v>
      </c>
      <c r="C396" s="207">
        <f t="shared" si="31"/>
        <v>60</v>
      </c>
      <c r="D396" s="176">
        <v>60</v>
      </c>
      <c r="E396" s="176"/>
      <c r="F396" s="176"/>
      <c r="G396" s="207"/>
      <c r="H396" s="207"/>
      <c r="I396" s="224"/>
    </row>
    <row r="397" spans="1:9" ht="26.4" x14ac:dyDescent="0.25">
      <c r="A397" s="205">
        <v>29</v>
      </c>
      <c r="B397" s="322" t="s">
        <v>660</v>
      </c>
      <c r="C397" s="207">
        <f t="shared" si="31"/>
        <v>200</v>
      </c>
      <c r="D397" s="176">
        <v>200</v>
      </c>
      <c r="E397" s="176"/>
      <c r="F397" s="176"/>
      <c r="G397" s="207"/>
      <c r="H397" s="207"/>
      <c r="I397" s="224"/>
    </row>
    <row r="398" spans="1:9" x14ac:dyDescent="0.25">
      <c r="A398" s="205">
        <v>30</v>
      </c>
      <c r="B398" s="223" t="s">
        <v>661</v>
      </c>
      <c r="C398" s="207">
        <f t="shared" si="31"/>
        <v>10</v>
      </c>
      <c r="D398" s="176">
        <v>10</v>
      </c>
      <c r="E398" s="176"/>
      <c r="F398" s="176"/>
      <c r="G398" s="207"/>
      <c r="H398" s="207"/>
      <c r="I398" s="224"/>
    </row>
    <row r="399" spans="1:9" ht="52.8" x14ac:dyDescent="0.25">
      <c r="A399" s="205">
        <v>31</v>
      </c>
      <c r="B399" s="223" t="s">
        <v>662</v>
      </c>
      <c r="C399" s="207">
        <f t="shared" si="31"/>
        <v>500</v>
      </c>
      <c r="D399" s="176">
        <v>500</v>
      </c>
      <c r="E399" s="176"/>
      <c r="F399" s="176"/>
      <c r="G399" s="207"/>
      <c r="H399" s="207"/>
      <c r="I399" s="224"/>
    </row>
    <row r="400" spans="1:9" x14ac:dyDescent="0.25">
      <c r="A400" s="205">
        <v>32</v>
      </c>
      <c r="B400" s="223" t="s">
        <v>663</v>
      </c>
      <c r="C400" s="207">
        <f t="shared" si="31"/>
        <v>270</v>
      </c>
      <c r="D400" s="176">
        <v>270</v>
      </c>
      <c r="E400" s="176"/>
      <c r="F400" s="176"/>
      <c r="G400" s="207"/>
      <c r="H400" s="207"/>
      <c r="I400" s="224"/>
    </row>
    <row r="401" spans="1:9" ht="79.2" x14ac:dyDescent="0.25">
      <c r="A401" s="205">
        <v>33</v>
      </c>
      <c r="B401" s="223" t="s">
        <v>664</v>
      </c>
      <c r="C401" s="207">
        <f t="shared" si="31"/>
        <v>270</v>
      </c>
      <c r="D401" s="176">
        <v>270</v>
      </c>
      <c r="E401" s="176"/>
      <c r="F401" s="176"/>
      <c r="G401" s="207"/>
      <c r="H401" s="207"/>
      <c r="I401" s="224"/>
    </row>
    <row r="402" spans="1:9" ht="26.4" x14ac:dyDescent="0.25">
      <c r="A402" s="205">
        <v>34</v>
      </c>
      <c r="B402" s="223" t="s">
        <v>665</v>
      </c>
      <c r="C402" s="207">
        <f t="shared" si="31"/>
        <v>150</v>
      </c>
      <c r="D402" s="176">
        <v>150</v>
      </c>
      <c r="E402" s="176"/>
      <c r="F402" s="176"/>
      <c r="G402" s="207"/>
      <c r="H402" s="207"/>
      <c r="I402" s="224"/>
    </row>
    <row r="403" spans="1:9" ht="39.6" x14ac:dyDescent="0.25">
      <c r="A403" s="205">
        <v>35</v>
      </c>
      <c r="B403" s="223" t="s">
        <v>666</v>
      </c>
      <c r="C403" s="207">
        <f t="shared" si="31"/>
        <v>500</v>
      </c>
      <c r="D403" s="176">
        <v>500</v>
      </c>
      <c r="E403" s="176"/>
      <c r="F403" s="176"/>
      <c r="G403" s="207"/>
      <c r="H403" s="207"/>
      <c r="I403" s="224"/>
    </row>
    <row r="404" spans="1:9" ht="39.6" x14ac:dyDescent="0.25">
      <c r="A404" s="205">
        <v>36</v>
      </c>
      <c r="B404" s="223" t="s">
        <v>667</v>
      </c>
      <c r="C404" s="207">
        <f t="shared" si="31"/>
        <v>1000</v>
      </c>
      <c r="D404" s="176">
        <v>1000</v>
      </c>
      <c r="E404" s="176"/>
      <c r="F404" s="338"/>
      <c r="G404" s="207"/>
      <c r="H404" s="207"/>
      <c r="I404" s="224"/>
    </row>
    <row r="405" spans="1:9" ht="39.6" x14ac:dyDescent="0.25">
      <c r="A405" s="205">
        <v>37</v>
      </c>
      <c r="B405" s="223" t="s">
        <v>668</v>
      </c>
      <c r="C405" s="207">
        <f t="shared" si="31"/>
        <v>10</v>
      </c>
      <c r="D405" s="176">
        <v>10</v>
      </c>
      <c r="E405" s="176"/>
      <c r="F405" s="176"/>
      <c r="G405" s="207"/>
      <c r="H405" s="207"/>
      <c r="I405" s="224"/>
    </row>
    <row r="406" spans="1:9" x14ac:dyDescent="0.25">
      <c r="A406" s="205">
        <v>38</v>
      </c>
      <c r="B406" s="223" t="s">
        <v>669</v>
      </c>
      <c r="C406" s="207">
        <f t="shared" si="31"/>
        <v>20000</v>
      </c>
      <c r="D406" s="176">
        <v>20000</v>
      </c>
      <c r="E406" s="176"/>
      <c r="F406" s="176"/>
      <c r="G406" s="207"/>
      <c r="H406" s="207"/>
      <c r="I406" s="224"/>
    </row>
    <row r="407" spans="1:9" x14ac:dyDescent="0.25">
      <c r="A407" s="205">
        <v>39</v>
      </c>
      <c r="B407" s="223" t="s">
        <v>670</v>
      </c>
      <c r="C407" s="207">
        <f t="shared" si="31"/>
        <v>2200</v>
      </c>
      <c r="D407" s="176">
        <v>2200</v>
      </c>
      <c r="E407" s="176"/>
      <c r="F407" s="176"/>
      <c r="G407" s="207"/>
      <c r="H407" s="207"/>
      <c r="I407" s="224"/>
    </row>
    <row r="408" spans="1:9" ht="26.4" x14ac:dyDescent="0.25">
      <c r="A408" s="205">
        <v>40</v>
      </c>
      <c r="B408" s="223" t="s">
        <v>671</v>
      </c>
      <c r="C408" s="207">
        <f t="shared" si="31"/>
        <v>4000</v>
      </c>
      <c r="D408" s="176">
        <v>4000</v>
      </c>
      <c r="E408" s="176"/>
      <c r="F408" s="176"/>
      <c r="G408" s="207"/>
      <c r="H408" s="207"/>
      <c r="I408" s="224"/>
    </row>
    <row r="409" spans="1:9" ht="26.4" x14ac:dyDescent="0.25">
      <c r="A409" s="205">
        <v>41</v>
      </c>
      <c r="B409" s="223" t="s">
        <v>672</v>
      </c>
      <c r="C409" s="207">
        <f t="shared" si="31"/>
        <v>500</v>
      </c>
      <c r="D409" s="176">
        <v>500</v>
      </c>
      <c r="E409" s="176"/>
      <c r="F409" s="176"/>
      <c r="G409" s="207"/>
      <c r="H409" s="207"/>
      <c r="I409" s="224"/>
    </row>
    <row r="410" spans="1:9" ht="39.6" x14ac:dyDescent="0.25">
      <c r="A410" s="205">
        <v>42</v>
      </c>
      <c r="B410" s="223" t="s">
        <v>673</v>
      </c>
      <c r="C410" s="207">
        <f t="shared" si="31"/>
        <v>500</v>
      </c>
      <c r="D410" s="176">
        <v>500</v>
      </c>
      <c r="E410" s="176"/>
      <c r="F410" s="176"/>
      <c r="G410" s="207"/>
      <c r="H410" s="207"/>
      <c r="I410" s="224"/>
    </row>
    <row r="411" spans="1:9" ht="26.4" x14ac:dyDescent="0.25">
      <c r="A411" s="205">
        <v>43</v>
      </c>
      <c r="B411" s="223" t="s">
        <v>674</v>
      </c>
      <c r="C411" s="207">
        <f t="shared" si="31"/>
        <v>1</v>
      </c>
      <c r="D411" s="176">
        <v>1</v>
      </c>
      <c r="E411" s="176"/>
      <c r="F411" s="176"/>
      <c r="G411" s="207"/>
      <c r="H411" s="207"/>
      <c r="I411" s="224"/>
    </row>
    <row r="412" spans="1:9" ht="39.6" x14ac:dyDescent="0.25">
      <c r="A412" s="205">
        <v>44</v>
      </c>
      <c r="B412" s="223" t="s">
        <v>675</v>
      </c>
      <c r="C412" s="207">
        <f t="shared" si="31"/>
        <v>611.52</v>
      </c>
      <c r="D412" s="176">
        <v>611.52</v>
      </c>
      <c r="E412" s="176"/>
      <c r="F412" s="176"/>
      <c r="G412" s="207"/>
      <c r="H412" s="207"/>
      <c r="I412" s="224"/>
    </row>
    <row r="413" spans="1:9" ht="26.4" x14ac:dyDescent="0.25">
      <c r="A413" s="205">
        <v>45</v>
      </c>
      <c r="B413" s="223" t="s">
        <v>676</v>
      </c>
      <c r="C413" s="207">
        <f t="shared" si="31"/>
        <v>900</v>
      </c>
      <c r="D413" s="176">
        <v>900</v>
      </c>
      <c r="E413" s="176"/>
      <c r="F413" s="176"/>
      <c r="G413" s="207"/>
      <c r="H413" s="207"/>
      <c r="I413" s="224"/>
    </row>
    <row r="414" spans="1:9" ht="26.4" x14ac:dyDescent="0.25">
      <c r="A414" s="205">
        <v>46</v>
      </c>
      <c r="B414" s="223" t="s">
        <v>677</v>
      </c>
      <c r="C414" s="207">
        <f t="shared" si="31"/>
        <v>500</v>
      </c>
      <c r="D414" s="176">
        <v>500</v>
      </c>
      <c r="E414" s="176"/>
      <c r="F414" s="176"/>
      <c r="G414" s="207"/>
      <c r="H414" s="207"/>
      <c r="I414" s="224"/>
    </row>
    <row r="415" spans="1:9" ht="26.4" x14ac:dyDescent="0.25">
      <c r="A415" s="205">
        <v>47</v>
      </c>
      <c r="B415" s="223" t="s">
        <v>678</v>
      </c>
      <c r="C415" s="207">
        <f t="shared" si="31"/>
        <v>20</v>
      </c>
      <c r="D415" s="176">
        <v>20</v>
      </c>
      <c r="E415" s="176"/>
      <c r="F415" s="176"/>
      <c r="G415" s="207"/>
      <c r="H415" s="207"/>
      <c r="I415" s="224"/>
    </row>
    <row r="416" spans="1:9" ht="39.6" x14ac:dyDescent="0.25">
      <c r="A416" s="205">
        <v>48</v>
      </c>
      <c r="B416" s="223" t="s">
        <v>679</v>
      </c>
      <c r="C416" s="207">
        <f t="shared" si="31"/>
        <v>1500</v>
      </c>
      <c r="D416" s="176">
        <v>1500</v>
      </c>
      <c r="E416" s="176"/>
      <c r="F416" s="176"/>
      <c r="G416" s="207"/>
      <c r="H416" s="207"/>
      <c r="I416" s="224"/>
    </row>
    <row r="417" spans="1:9" ht="26.4" x14ac:dyDescent="0.25">
      <c r="A417" s="205">
        <v>49</v>
      </c>
      <c r="B417" s="223" t="s">
        <v>680</v>
      </c>
      <c r="C417" s="207">
        <f t="shared" si="31"/>
        <v>855</v>
      </c>
      <c r="D417" s="176">
        <v>855</v>
      </c>
      <c r="E417" s="176"/>
      <c r="F417" s="176"/>
      <c r="G417" s="207"/>
      <c r="H417" s="207"/>
      <c r="I417" s="224"/>
    </row>
    <row r="418" spans="1:9" ht="39.6" x14ac:dyDescent="0.25">
      <c r="A418" s="205">
        <v>50</v>
      </c>
      <c r="B418" s="223" t="s">
        <v>681</v>
      </c>
      <c r="C418" s="207">
        <f t="shared" si="31"/>
        <v>92</v>
      </c>
      <c r="D418" s="176">
        <v>92</v>
      </c>
      <c r="E418" s="176"/>
      <c r="F418" s="176"/>
      <c r="G418" s="207"/>
      <c r="H418" s="207"/>
      <c r="I418" s="224"/>
    </row>
    <row r="419" spans="1:9" ht="26.4" x14ac:dyDescent="0.25">
      <c r="A419" s="205">
        <v>51</v>
      </c>
      <c r="B419" s="223" t="s">
        <v>682</v>
      </c>
      <c r="C419" s="207">
        <f t="shared" si="31"/>
        <v>90</v>
      </c>
      <c r="D419" s="176">
        <v>90</v>
      </c>
      <c r="E419" s="176"/>
      <c r="F419" s="176"/>
      <c r="G419" s="207"/>
      <c r="H419" s="207"/>
      <c r="I419" s="224"/>
    </row>
    <row r="420" spans="1:9" ht="26.4" x14ac:dyDescent="0.25">
      <c r="A420" s="205">
        <v>52</v>
      </c>
      <c r="B420" s="223" t="s">
        <v>683</v>
      </c>
      <c r="C420" s="207">
        <f t="shared" si="31"/>
        <v>54.74</v>
      </c>
      <c r="D420" s="176">
        <v>54.74</v>
      </c>
      <c r="E420" s="176"/>
      <c r="F420" s="176"/>
      <c r="G420" s="207"/>
      <c r="H420" s="207"/>
      <c r="I420" s="224"/>
    </row>
    <row r="421" spans="1:9" ht="26.4" x14ac:dyDescent="0.25">
      <c r="A421" s="205">
        <v>53</v>
      </c>
      <c r="B421" s="223" t="s">
        <v>684</v>
      </c>
      <c r="C421" s="207">
        <f t="shared" si="31"/>
        <v>500</v>
      </c>
      <c r="D421" s="176">
        <v>500</v>
      </c>
      <c r="E421" s="176"/>
      <c r="F421" s="176"/>
      <c r="G421" s="207"/>
      <c r="H421" s="207"/>
      <c r="I421" s="224"/>
    </row>
    <row r="422" spans="1:9" ht="26.4" x14ac:dyDescent="0.25">
      <c r="A422" s="205">
        <v>54</v>
      </c>
      <c r="B422" s="223" t="s">
        <v>685</v>
      </c>
      <c r="C422" s="207">
        <f t="shared" si="31"/>
        <v>500</v>
      </c>
      <c r="D422" s="176">
        <v>500</v>
      </c>
      <c r="E422" s="176"/>
      <c r="F422" s="176"/>
      <c r="G422" s="207"/>
      <c r="H422" s="207"/>
      <c r="I422" s="224"/>
    </row>
    <row r="423" spans="1:9" ht="26.4" x14ac:dyDescent="0.25">
      <c r="A423" s="205">
        <v>55</v>
      </c>
      <c r="B423" s="223" t="s">
        <v>686</v>
      </c>
      <c r="C423" s="207">
        <f t="shared" si="31"/>
        <v>50</v>
      </c>
      <c r="D423" s="176">
        <v>50</v>
      </c>
      <c r="E423" s="176"/>
      <c r="F423" s="176"/>
      <c r="G423" s="207"/>
      <c r="H423" s="207"/>
      <c r="I423" s="224"/>
    </row>
    <row r="424" spans="1:9" ht="39.6" x14ac:dyDescent="0.25">
      <c r="A424" s="205">
        <v>56</v>
      </c>
      <c r="B424" s="223" t="s">
        <v>687</v>
      </c>
      <c r="C424" s="207">
        <f t="shared" si="31"/>
        <v>200</v>
      </c>
      <c r="D424" s="176">
        <v>200</v>
      </c>
      <c r="E424" s="176"/>
      <c r="F424" s="176"/>
      <c r="G424" s="207"/>
      <c r="H424" s="207"/>
      <c r="I424" s="224"/>
    </row>
    <row r="425" spans="1:9" ht="39.6" x14ac:dyDescent="0.25">
      <c r="A425" s="205">
        <v>57</v>
      </c>
      <c r="B425" s="223" t="s">
        <v>688</v>
      </c>
      <c r="C425" s="207">
        <f t="shared" si="31"/>
        <v>1</v>
      </c>
      <c r="D425" s="176">
        <v>1</v>
      </c>
      <c r="E425" s="176"/>
      <c r="F425" s="176"/>
      <c r="G425" s="207"/>
      <c r="H425" s="207"/>
      <c r="I425" s="224"/>
    </row>
    <row r="426" spans="1:9" ht="26.4" x14ac:dyDescent="0.25">
      <c r="A426" s="205">
        <v>58</v>
      </c>
      <c r="B426" s="223" t="s">
        <v>689</v>
      </c>
      <c r="C426" s="207">
        <f t="shared" si="31"/>
        <v>50</v>
      </c>
      <c r="D426" s="176">
        <v>50</v>
      </c>
      <c r="E426" s="176"/>
      <c r="F426" s="176"/>
      <c r="G426" s="207"/>
      <c r="H426" s="207"/>
      <c r="I426" s="224"/>
    </row>
    <row r="427" spans="1:9" ht="66" x14ac:dyDescent="0.25">
      <c r="A427" s="205">
        <v>59</v>
      </c>
      <c r="B427" s="223" t="s">
        <v>690</v>
      </c>
      <c r="C427" s="207">
        <f t="shared" si="31"/>
        <v>150</v>
      </c>
      <c r="D427" s="176">
        <v>150</v>
      </c>
      <c r="E427" s="176"/>
      <c r="F427" s="176"/>
      <c r="G427" s="207"/>
      <c r="H427" s="207"/>
      <c r="I427" s="224"/>
    </row>
    <row r="428" spans="1:9" ht="26.4" x14ac:dyDescent="0.25">
      <c r="A428" s="205">
        <v>60</v>
      </c>
      <c r="B428" s="223" t="s">
        <v>691</v>
      </c>
      <c r="C428" s="207">
        <f t="shared" si="31"/>
        <v>2272.31</v>
      </c>
      <c r="D428" s="176">
        <v>2272.31</v>
      </c>
      <c r="E428" s="176"/>
      <c r="F428" s="176"/>
      <c r="G428" s="207"/>
      <c r="H428" s="207"/>
      <c r="I428" s="224"/>
    </row>
    <row r="429" spans="1:9" ht="26.4" x14ac:dyDescent="0.25">
      <c r="A429" s="205">
        <v>61</v>
      </c>
      <c r="B429" s="223" t="s">
        <v>692</v>
      </c>
      <c r="C429" s="207">
        <f t="shared" si="31"/>
        <v>300</v>
      </c>
      <c r="D429" s="176">
        <v>300</v>
      </c>
      <c r="E429" s="176"/>
      <c r="F429" s="176"/>
      <c r="G429" s="207"/>
      <c r="H429" s="207"/>
      <c r="I429" s="224"/>
    </row>
    <row r="430" spans="1:9" ht="39.6" x14ac:dyDescent="0.25">
      <c r="A430" s="205">
        <v>62</v>
      </c>
      <c r="B430" s="223" t="s">
        <v>693</v>
      </c>
      <c r="C430" s="207">
        <f t="shared" si="31"/>
        <v>100</v>
      </c>
      <c r="D430" s="176">
        <v>100</v>
      </c>
      <c r="E430" s="176"/>
      <c r="F430" s="176"/>
      <c r="G430" s="207"/>
      <c r="H430" s="207"/>
      <c r="I430" s="224"/>
    </row>
    <row r="431" spans="1:9" ht="26.4" x14ac:dyDescent="0.25">
      <c r="A431" s="205">
        <v>63</v>
      </c>
      <c r="B431" s="223" t="s">
        <v>694</v>
      </c>
      <c r="C431" s="207">
        <f t="shared" si="31"/>
        <v>100</v>
      </c>
      <c r="D431" s="176">
        <v>100</v>
      </c>
      <c r="E431" s="176"/>
      <c r="F431" s="176"/>
      <c r="G431" s="207"/>
      <c r="H431" s="207"/>
      <c r="I431" s="224"/>
    </row>
    <row r="432" spans="1:9" ht="26.4" x14ac:dyDescent="0.25">
      <c r="A432" s="205">
        <v>64</v>
      </c>
      <c r="B432" s="223" t="s">
        <v>695</v>
      </c>
      <c r="C432" s="207">
        <f t="shared" si="31"/>
        <v>140</v>
      </c>
      <c r="D432" s="176">
        <v>140</v>
      </c>
      <c r="E432" s="176"/>
      <c r="F432" s="176"/>
      <c r="G432" s="207"/>
      <c r="H432" s="207"/>
      <c r="I432" s="224"/>
    </row>
    <row r="433" spans="1:9" x14ac:dyDescent="0.25">
      <c r="A433" s="205">
        <v>65</v>
      </c>
      <c r="B433" s="223" t="s">
        <v>696</v>
      </c>
      <c r="C433" s="207">
        <f t="shared" ref="C433:C496" si="32">SUM(D433:I433)</f>
        <v>100</v>
      </c>
      <c r="D433" s="176">
        <v>100</v>
      </c>
      <c r="E433" s="176"/>
      <c r="F433" s="176"/>
      <c r="G433" s="207"/>
      <c r="H433" s="207"/>
      <c r="I433" s="224"/>
    </row>
    <row r="434" spans="1:9" x14ac:dyDescent="0.25">
      <c r="A434" s="205">
        <v>66</v>
      </c>
      <c r="B434" s="223" t="s">
        <v>697</v>
      </c>
      <c r="C434" s="207">
        <f t="shared" si="32"/>
        <v>30</v>
      </c>
      <c r="D434" s="176">
        <v>30</v>
      </c>
      <c r="E434" s="176"/>
      <c r="F434" s="176"/>
      <c r="G434" s="207"/>
      <c r="H434" s="207"/>
      <c r="I434" s="224"/>
    </row>
    <row r="435" spans="1:9" ht="26.4" x14ac:dyDescent="0.25">
      <c r="A435" s="205">
        <v>67</v>
      </c>
      <c r="B435" s="223" t="s">
        <v>698</v>
      </c>
      <c r="C435" s="207">
        <f t="shared" si="32"/>
        <v>30</v>
      </c>
      <c r="D435" s="176">
        <v>30</v>
      </c>
      <c r="E435" s="176"/>
      <c r="F435" s="176"/>
      <c r="G435" s="207"/>
      <c r="H435" s="207"/>
      <c r="I435" s="224"/>
    </row>
    <row r="436" spans="1:9" ht="39.6" x14ac:dyDescent="0.25">
      <c r="A436" s="205">
        <v>68</v>
      </c>
      <c r="B436" s="223" t="s">
        <v>699</v>
      </c>
      <c r="C436" s="207">
        <f t="shared" si="32"/>
        <v>100</v>
      </c>
      <c r="D436" s="176">
        <v>100</v>
      </c>
      <c r="E436" s="176"/>
      <c r="F436" s="176"/>
      <c r="G436" s="207"/>
      <c r="H436" s="207"/>
      <c r="I436" s="224"/>
    </row>
    <row r="437" spans="1:9" ht="66" x14ac:dyDescent="0.25">
      <c r="A437" s="205">
        <v>69</v>
      </c>
      <c r="B437" s="223" t="s">
        <v>700</v>
      </c>
      <c r="C437" s="207">
        <f t="shared" si="32"/>
        <v>302.5</v>
      </c>
      <c r="D437" s="176">
        <v>302.5</v>
      </c>
      <c r="E437" s="176"/>
      <c r="F437" s="176"/>
      <c r="G437" s="207"/>
      <c r="H437" s="207"/>
      <c r="I437" s="224"/>
    </row>
    <row r="438" spans="1:9" ht="39.6" x14ac:dyDescent="0.25">
      <c r="A438" s="205">
        <v>70</v>
      </c>
      <c r="B438" s="223" t="s">
        <v>701</v>
      </c>
      <c r="C438" s="207">
        <f t="shared" si="32"/>
        <v>370</v>
      </c>
      <c r="D438" s="176">
        <v>370</v>
      </c>
      <c r="E438" s="176"/>
      <c r="F438" s="176"/>
      <c r="G438" s="207"/>
      <c r="H438" s="207"/>
      <c r="I438" s="224"/>
    </row>
    <row r="439" spans="1:9" ht="39.6" x14ac:dyDescent="0.25">
      <c r="A439" s="205">
        <v>71</v>
      </c>
      <c r="B439" s="223" t="s">
        <v>702</v>
      </c>
      <c r="C439" s="207">
        <f t="shared" si="32"/>
        <v>1</v>
      </c>
      <c r="D439" s="176">
        <v>1</v>
      </c>
      <c r="E439" s="176"/>
      <c r="F439" s="176"/>
      <c r="G439" s="207"/>
      <c r="H439" s="207"/>
      <c r="I439" s="224"/>
    </row>
    <row r="440" spans="1:9" x14ac:dyDescent="0.25">
      <c r="A440" s="205">
        <v>72</v>
      </c>
      <c r="B440" s="223" t="s">
        <v>703</v>
      </c>
      <c r="C440" s="207">
        <f t="shared" si="32"/>
        <v>50</v>
      </c>
      <c r="D440" s="176">
        <v>50</v>
      </c>
      <c r="E440" s="176"/>
      <c r="F440" s="176"/>
      <c r="G440" s="207"/>
      <c r="H440" s="207"/>
      <c r="I440" s="224"/>
    </row>
    <row r="441" spans="1:9" ht="26.4" x14ac:dyDescent="0.25">
      <c r="A441" s="205">
        <v>73</v>
      </c>
      <c r="B441" s="223" t="s">
        <v>704</v>
      </c>
      <c r="C441" s="207">
        <f t="shared" si="32"/>
        <v>160</v>
      </c>
      <c r="D441" s="176">
        <v>160</v>
      </c>
      <c r="E441" s="176"/>
      <c r="F441" s="176"/>
      <c r="G441" s="207"/>
      <c r="H441" s="207"/>
      <c r="I441" s="224"/>
    </row>
    <row r="442" spans="1:9" ht="52.8" x14ac:dyDescent="0.25">
      <c r="A442" s="205">
        <v>74</v>
      </c>
      <c r="B442" s="223" t="s">
        <v>705</v>
      </c>
      <c r="C442" s="207">
        <f t="shared" si="32"/>
        <v>20</v>
      </c>
      <c r="D442" s="176">
        <v>20</v>
      </c>
      <c r="E442" s="176"/>
      <c r="F442" s="176"/>
      <c r="G442" s="207"/>
      <c r="H442" s="207"/>
      <c r="I442" s="224"/>
    </row>
    <row r="443" spans="1:9" ht="39.6" x14ac:dyDescent="0.25">
      <c r="A443" s="205">
        <v>75</v>
      </c>
      <c r="B443" s="223" t="s">
        <v>706</v>
      </c>
      <c r="C443" s="207">
        <f t="shared" si="32"/>
        <v>105</v>
      </c>
      <c r="D443" s="176">
        <v>105</v>
      </c>
      <c r="E443" s="176"/>
      <c r="F443" s="176"/>
      <c r="G443" s="207"/>
      <c r="H443" s="207"/>
      <c r="I443" s="224"/>
    </row>
    <row r="444" spans="1:9" ht="39.6" x14ac:dyDescent="0.25">
      <c r="A444" s="205">
        <v>76</v>
      </c>
      <c r="B444" s="223" t="s">
        <v>707</v>
      </c>
      <c r="C444" s="207">
        <f t="shared" si="32"/>
        <v>47.86</v>
      </c>
      <c r="D444" s="176">
        <v>47.86</v>
      </c>
      <c r="E444" s="176"/>
      <c r="F444" s="176"/>
      <c r="G444" s="207"/>
      <c r="H444" s="207"/>
      <c r="I444" s="224"/>
    </row>
    <row r="445" spans="1:9" ht="79.2" x14ac:dyDescent="0.25">
      <c r="A445" s="205">
        <v>77</v>
      </c>
      <c r="B445" s="223" t="s">
        <v>708</v>
      </c>
      <c r="C445" s="207">
        <f t="shared" si="32"/>
        <v>42.5</v>
      </c>
      <c r="D445" s="176">
        <v>42.5</v>
      </c>
      <c r="E445" s="176"/>
      <c r="F445" s="339"/>
      <c r="G445" s="207"/>
      <c r="H445" s="207"/>
      <c r="I445" s="224"/>
    </row>
    <row r="446" spans="1:9" ht="39.6" x14ac:dyDescent="0.25">
      <c r="A446" s="205">
        <v>78</v>
      </c>
      <c r="B446" s="223" t="s">
        <v>709</v>
      </c>
      <c r="C446" s="207">
        <f t="shared" si="32"/>
        <v>269.45</v>
      </c>
      <c r="D446" s="176">
        <v>269.45</v>
      </c>
      <c r="E446" s="176"/>
      <c r="F446" s="339"/>
      <c r="G446" s="207"/>
      <c r="H446" s="207"/>
      <c r="I446" s="224"/>
    </row>
    <row r="447" spans="1:9" ht="26.4" x14ac:dyDescent="0.25">
      <c r="A447" s="205">
        <v>79</v>
      </c>
      <c r="B447" s="223" t="s">
        <v>710</v>
      </c>
      <c r="C447" s="207">
        <f t="shared" si="32"/>
        <v>275</v>
      </c>
      <c r="D447" s="176">
        <v>275</v>
      </c>
      <c r="E447" s="176"/>
      <c r="F447" s="176"/>
      <c r="G447" s="207"/>
      <c r="H447" s="207"/>
      <c r="I447" s="224"/>
    </row>
    <row r="448" spans="1:9" ht="26.4" x14ac:dyDescent="0.25">
      <c r="A448" s="205">
        <v>80</v>
      </c>
      <c r="B448" s="223" t="s">
        <v>711</v>
      </c>
      <c r="C448" s="207">
        <f t="shared" si="32"/>
        <v>292</v>
      </c>
      <c r="D448" s="176">
        <v>292</v>
      </c>
      <c r="E448" s="176"/>
      <c r="F448" s="176"/>
      <c r="G448" s="207"/>
      <c r="H448" s="207"/>
      <c r="I448" s="224"/>
    </row>
    <row r="449" spans="1:9" ht="39.6" x14ac:dyDescent="0.25">
      <c r="A449" s="205">
        <v>81</v>
      </c>
      <c r="B449" s="322" t="s">
        <v>712</v>
      </c>
      <c r="C449" s="207">
        <f t="shared" si="32"/>
        <v>235</v>
      </c>
      <c r="D449" s="176">
        <v>235</v>
      </c>
      <c r="E449" s="176"/>
      <c r="F449" s="176"/>
      <c r="G449" s="207"/>
      <c r="H449" s="207"/>
      <c r="I449" s="224"/>
    </row>
    <row r="450" spans="1:9" ht="26.4" x14ac:dyDescent="0.25">
      <c r="A450" s="205">
        <v>82</v>
      </c>
      <c r="B450" s="322" t="s">
        <v>713</v>
      </c>
      <c r="C450" s="207">
        <f t="shared" si="32"/>
        <v>150</v>
      </c>
      <c r="D450" s="176">
        <v>150</v>
      </c>
      <c r="E450" s="207"/>
      <c r="F450" s="176"/>
      <c r="G450" s="207"/>
      <c r="H450" s="207"/>
      <c r="I450" s="224"/>
    </row>
    <row r="451" spans="1:9" ht="26.4" x14ac:dyDescent="0.25">
      <c r="A451" s="205">
        <v>83</v>
      </c>
      <c r="B451" s="322" t="s">
        <v>714</v>
      </c>
      <c r="C451" s="207">
        <f t="shared" si="32"/>
        <v>75</v>
      </c>
      <c r="D451" s="176">
        <v>75</v>
      </c>
      <c r="E451" s="176"/>
      <c r="F451" s="207"/>
      <c r="G451" s="207"/>
      <c r="H451" s="207"/>
      <c r="I451" s="224"/>
    </row>
    <row r="452" spans="1:9" ht="39.6" x14ac:dyDescent="0.25">
      <c r="A452" s="205">
        <v>84</v>
      </c>
      <c r="B452" s="322" t="s">
        <v>715</v>
      </c>
      <c r="C452" s="207">
        <f t="shared" si="32"/>
        <v>150</v>
      </c>
      <c r="D452" s="176">
        <v>150</v>
      </c>
      <c r="E452" s="176"/>
      <c r="F452" s="207"/>
      <c r="G452" s="207"/>
      <c r="H452" s="207"/>
      <c r="I452" s="224"/>
    </row>
    <row r="453" spans="1:9" x14ac:dyDescent="0.25">
      <c r="A453" s="205">
        <v>85</v>
      </c>
      <c r="B453" s="322" t="s">
        <v>716</v>
      </c>
      <c r="C453" s="207">
        <f t="shared" si="32"/>
        <v>200</v>
      </c>
      <c r="D453" s="176">
        <v>200</v>
      </c>
      <c r="E453" s="176"/>
      <c r="F453" s="207"/>
      <c r="G453" s="207"/>
      <c r="H453" s="207"/>
      <c r="I453" s="224"/>
    </row>
    <row r="454" spans="1:9" ht="26.4" x14ac:dyDescent="0.25">
      <c r="A454" s="205">
        <v>86</v>
      </c>
      <c r="B454" s="322" t="s">
        <v>717</v>
      </c>
      <c r="C454" s="207">
        <f t="shared" si="32"/>
        <v>22</v>
      </c>
      <c r="D454" s="176">
        <v>22</v>
      </c>
      <c r="E454" s="176"/>
      <c r="F454" s="207"/>
      <c r="G454" s="207"/>
      <c r="H454" s="207"/>
      <c r="I454" s="224"/>
    </row>
    <row r="455" spans="1:9" ht="26.4" x14ac:dyDescent="0.25">
      <c r="A455" s="205">
        <v>87</v>
      </c>
      <c r="B455" s="322" t="s">
        <v>718</v>
      </c>
      <c r="C455" s="207">
        <f t="shared" si="32"/>
        <v>500</v>
      </c>
      <c r="D455" s="176">
        <v>500</v>
      </c>
      <c r="E455" s="176"/>
      <c r="F455" s="207"/>
      <c r="G455" s="207"/>
      <c r="H455" s="207"/>
      <c r="I455" s="224"/>
    </row>
    <row r="456" spans="1:9" ht="92.4" x14ac:dyDescent="0.25">
      <c r="A456" s="205">
        <v>88</v>
      </c>
      <c r="B456" s="322" t="s">
        <v>719</v>
      </c>
      <c r="C456" s="207">
        <f t="shared" si="32"/>
        <v>1000</v>
      </c>
      <c r="D456" s="176">
        <v>1000</v>
      </c>
      <c r="E456" s="176"/>
      <c r="F456" s="207"/>
      <c r="G456" s="207"/>
      <c r="H456" s="207"/>
      <c r="I456" s="224"/>
    </row>
    <row r="457" spans="1:9" ht="26.4" x14ac:dyDescent="0.25">
      <c r="A457" s="205">
        <v>89</v>
      </c>
      <c r="B457" s="322" t="s">
        <v>720</v>
      </c>
      <c r="C457" s="207">
        <f t="shared" si="32"/>
        <v>200</v>
      </c>
      <c r="D457" s="176">
        <v>200</v>
      </c>
      <c r="E457" s="176"/>
      <c r="F457" s="207"/>
      <c r="G457" s="207"/>
      <c r="H457" s="207"/>
      <c r="I457" s="224"/>
    </row>
    <row r="458" spans="1:9" x14ac:dyDescent="0.25">
      <c r="A458" s="205">
        <v>90</v>
      </c>
      <c r="B458" s="322" t="s">
        <v>721</v>
      </c>
      <c r="C458" s="207">
        <f t="shared" si="32"/>
        <v>200</v>
      </c>
      <c r="D458" s="176">
        <v>200</v>
      </c>
      <c r="E458" s="176"/>
      <c r="F458" s="207"/>
      <c r="G458" s="207"/>
      <c r="H458" s="207"/>
      <c r="I458" s="224"/>
    </row>
    <row r="459" spans="1:9" ht="39.6" x14ac:dyDescent="0.25">
      <c r="A459" s="205">
        <v>91</v>
      </c>
      <c r="B459" s="322" t="s">
        <v>722</v>
      </c>
      <c r="C459" s="207">
        <f t="shared" si="32"/>
        <v>70</v>
      </c>
      <c r="D459" s="176">
        <v>70</v>
      </c>
      <c r="E459" s="176"/>
      <c r="F459" s="207"/>
      <c r="G459" s="207"/>
      <c r="H459" s="207"/>
      <c r="I459" s="224"/>
    </row>
    <row r="460" spans="1:9" x14ac:dyDescent="0.25">
      <c r="A460" s="205">
        <v>92</v>
      </c>
      <c r="B460" s="322" t="s">
        <v>723</v>
      </c>
      <c r="C460" s="207">
        <f t="shared" si="32"/>
        <v>236</v>
      </c>
      <c r="D460" s="176">
        <v>236</v>
      </c>
      <c r="E460" s="176"/>
      <c r="F460" s="207"/>
      <c r="G460" s="207"/>
      <c r="H460" s="207"/>
      <c r="I460" s="224"/>
    </row>
    <row r="461" spans="1:9" ht="26.4" x14ac:dyDescent="0.25">
      <c r="A461" s="205">
        <v>93</v>
      </c>
      <c r="B461" s="322" t="s">
        <v>724</v>
      </c>
      <c r="C461" s="207">
        <f t="shared" si="32"/>
        <v>267</v>
      </c>
      <c r="D461" s="176">
        <v>267</v>
      </c>
      <c r="E461" s="176"/>
      <c r="F461" s="207"/>
      <c r="G461" s="207"/>
      <c r="H461" s="207"/>
      <c r="I461" s="224"/>
    </row>
    <row r="462" spans="1:9" ht="39.6" x14ac:dyDescent="0.25">
      <c r="A462" s="205">
        <v>94</v>
      </c>
      <c r="B462" s="322" t="s">
        <v>725</v>
      </c>
      <c r="C462" s="207">
        <f t="shared" si="32"/>
        <v>237</v>
      </c>
      <c r="D462" s="176">
        <v>237</v>
      </c>
      <c r="E462" s="176"/>
      <c r="F462" s="207"/>
      <c r="G462" s="207"/>
      <c r="H462" s="207"/>
      <c r="I462" s="224"/>
    </row>
    <row r="463" spans="1:9" ht="26.4" x14ac:dyDescent="0.25">
      <c r="A463" s="205">
        <v>95</v>
      </c>
      <c r="B463" s="322" t="s">
        <v>726</v>
      </c>
      <c r="C463" s="207">
        <f t="shared" si="32"/>
        <v>100</v>
      </c>
      <c r="D463" s="176">
        <v>100</v>
      </c>
      <c r="E463" s="176"/>
      <c r="F463" s="207"/>
      <c r="G463" s="207"/>
      <c r="H463" s="207"/>
      <c r="I463" s="224"/>
    </row>
    <row r="464" spans="1:9" ht="39.6" x14ac:dyDescent="0.25">
      <c r="A464" s="205">
        <v>96</v>
      </c>
      <c r="B464" s="322" t="s">
        <v>727</v>
      </c>
      <c r="C464" s="207">
        <f t="shared" si="32"/>
        <v>140</v>
      </c>
      <c r="D464" s="176">
        <v>140</v>
      </c>
      <c r="E464" s="176"/>
      <c r="F464" s="207"/>
      <c r="G464" s="207"/>
      <c r="H464" s="207"/>
      <c r="I464" s="224"/>
    </row>
    <row r="465" spans="1:9" ht="26.4" x14ac:dyDescent="0.25">
      <c r="A465" s="205">
        <v>97</v>
      </c>
      <c r="B465" s="322" t="s">
        <v>728</v>
      </c>
      <c r="C465" s="207">
        <f t="shared" si="32"/>
        <v>0</v>
      </c>
      <c r="D465" s="176">
        <v>0</v>
      </c>
      <c r="E465" s="176"/>
      <c r="F465" s="207"/>
      <c r="G465" s="207"/>
      <c r="H465" s="207"/>
      <c r="I465" s="224"/>
    </row>
    <row r="466" spans="1:9" ht="26.4" x14ac:dyDescent="0.25">
      <c r="A466" s="205">
        <v>98</v>
      </c>
      <c r="B466" s="322" t="s">
        <v>729</v>
      </c>
      <c r="C466" s="207">
        <f t="shared" si="32"/>
        <v>0</v>
      </c>
      <c r="D466" s="176">
        <v>0</v>
      </c>
      <c r="E466" s="176"/>
      <c r="F466" s="207"/>
      <c r="G466" s="207"/>
      <c r="H466" s="207"/>
      <c r="I466" s="224"/>
    </row>
    <row r="467" spans="1:9" x14ac:dyDescent="0.25">
      <c r="A467" s="205">
        <v>99</v>
      </c>
      <c r="B467" s="322" t="s">
        <v>730</v>
      </c>
      <c r="C467" s="207">
        <f t="shared" si="32"/>
        <v>200</v>
      </c>
      <c r="D467" s="176">
        <v>200</v>
      </c>
      <c r="E467" s="176"/>
      <c r="F467" s="207"/>
      <c r="G467" s="207"/>
      <c r="H467" s="207"/>
      <c r="I467" s="224"/>
    </row>
    <row r="468" spans="1:9" ht="26.4" x14ac:dyDescent="0.25">
      <c r="A468" s="205">
        <v>100</v>
      </c>
      <c r="B468" s="322" t="s">
        <v>731</v>
      </c>
      <c r="C468" s="207">
        <f t="shared" si="32"/>
        <v>46.15</v>
      </c>
      <c r="D468" s="176">
        <v>46.15</v>
      </c>
      <c r="E468" s="176"/>
      <c r="F468" s="207"/>
      <c r="G468" s="207"/>
      <c r="H468" s="207"/>
      <c r="I468" s="224"/>
    </row>
    <row r="469" spans="1:9" ht="26.4" x14ac:dyDescent="0.25">
      <c r="A469" s="205">
        <v>101</v>
      </c>
      <c r="B469" s="322" t="s">
        <v>732</v>
      </c>
      <c r="C469" s="207">
        <f t="shared" si="32"/>
        <v>50</v>
      </c>
      <c r="D469" s="176">
        <v>50</v>
      </c>
      <c r="E469" s="176"/>
      <c r="F469" s="207"/>
      <c r="G469" s="207"/>
      <c r="H469" s="207"/>
      <c r="I469" s="224"/>
    </row>
    <row r="470" spans="1:9" x14ac:dyDescent="0.25">
      <c r="A470" s="205">
        <v>102</v>
      </c>
      <c r="B470" s="322" t="s">
        <v>733</v>
      </c>
      <c r="C470" s="207">
        <f t="shared" si="32"/>
        <v>50</v>
      </c>
      <c r="D470" s="176">
        <v>50</v>
      </c>
      <c r="E470" s="176"/>
      <c r="F470" s="207"/>
      <c r="G470" s="207"/>
      <c r="H470" s="207"/>
      <c r="I470" s="224"/>
    </row>
    <row r="471" spans="1:9" ht="26.4" x14ac:dyDescent="0.25">
      <c r="A471" s="205">
        <v>103</v>
      </c>
      <c r="B471" s="322" t="s">
        <v>734</v>
      </c>
      <c r="C471" s="207">
        <f t="shared" si="32"/>
        <v>20</v>
      </c>
      <c r="D471" s="176">
        <v>20</v>
      </c>
      <c r="E471" s="176"/>
      <c r="F471" s="207"/>
      <c r="G471" s="207"/>
      <c r="H471" s="207"/>
      <c r="I471" s="224"/>
    </row>
    <row r="472" spans="1:9" ht="26.4" x14ac:dyDescent="0.25">
      <c r="A472" s="205">
        <v>104</v>
      </c>
      <c r="B472" s="322" t="s">
        <v>735</v>
      </c>
      <c r="C472" s="207">
        <f t="shared" si="32"/>
        <v>100</v>
      </c>
      <c r="D472" s="176">
        <v>100</v>
      </c>
      <c r="E472" s="176"/>
      <c r="F472" s="207"/>
      <c r="G472" s="207"/>
      <c r="H472" s="207"/>
      <c r="I472" s="224"/>
    </row>
    <row r="473" spans="1:9" x14ac:dyDescent="0.25">
      <c r="A473" s="205">
        <v>105</v>
      </c>
      <c r="B473" s="322" t="s">
        <v>736</v>
      </c>
      <c r="C473" s="207">
        <f t="shared" si="32"/>
        <v>50</v>
      </c>
      <c r="D473" s="176">
        <v>50</v>
      </c>
      <c r="E473" s="176"/>
      <c r="F473" s="207"/>
      <c r="G473" s="207"/>
      <c r="H473" s="207"/>
      <c r="I473" s="224"/>
    </row>
    <row r="474" spans="1:9" x14ac:dyDescent="0.25">
      <c r="A474" s="205">
        <v>106</v>
      </c>
      <c r="B474" s="322" t="s">
        <v>737</v>
      </c>
      <c r="C474" s="207">
        <f t="shared" si="32"/>
        <v>50</v>
      </c>
      <c r="D474" s="176">
        <v>50</v>
      </c>
      <c r="E474" s="176"/>
      <c r="F474" s="207"/>
      <c r="G474" s="207"/>
      <c r="H474" s="207"/>
      <c r="I474" s="224"/>
    </row>
    <row r="475" spans="1:9" ht="26.4" x14ac:dyDescent="0.25">
      <c r="A475" s="205">
        <v>107</v>
      </c>
      <c r="B475" s="322" t="s">
        <v>738</v>
      </c>
      <c r="C475" s="207">
        <f t="shared" si="32"/>
        <v>209</v>
      </c>
      <c r="D475" s="176">
        <v>209</v>
      </c>
      <c r="E475" s="176"/>
      <c r="F475" s="207"/>
      <c r="G475" s="207"/>
      <c r="H475" s="207"/>
      <c r="I475" s="224"/>
    </row>
    <row r="476" spans="1:9" x14ac:dyDescent="0.25">
      <c r="A476" s="205">
        <v>108</v>
      </c>
      <c r="B476" s="322" t="s">
        <v>739</v>
      </c>
      <c r="C476" s="207">
        <f t="shared" si="32"/>
        <v>332.75</v>
      </c>
      <c r="D476" s="176">
        <v>332.75</v>
      </c>
      <c r="E476" s="176"/>
      <c r="F476" s="207"/>
      <c r="G476" s="207"/>
      <c r="H476" s="207"/>
      <c r="I476" s="224"/>
    </row>
    <row r="477" spans="1:9" x14ac:dyDescent="0.25">
      <c r="A477" s="205">
        <v>109</v>
      </c>
      <c r="B477" s="322" t="s">
        <v>740</v>
      </c>
      <c r="C477" s="207">
        <f t="shared" si="32"/>
        <v>48</v>
      </c>
      <c r="D477" s="176">
        <v>48</v>
      </c>
      <c r="E477" s="176"/>
      <c r="F477" s="207"/>
      <c r="G477" s="207"/>
      <c r="H477" s="207"/>
      <c r="I477" s="224"/>
    </row>
    <row r="478" spans="1:9" ht="26.4" x14ac:dyDescent="0.25">
      <c r="A478" s="205">
        <v>110</v>
      </c>
      <c r="B478" s="322" t="s">
        <v>741</v>
      </c>
      <c r="C478" s="207">
        <f t="shared" si="32"/>
        <v>15</v>
      </c>
      <c r="D478" s="176">
        <v>15</v>
      </c>
      <c r="E478" s="176"/>
      <c r="F478" s="207"/>
      <c r="G478" s="207"/>
      <c r="H478" s="207"/>
      <c r="I478" s="224"/>
    </row>
    <row r="479" spans="1:9" x14ac:dyDescent="0.25">
      <c r="A479" s="205">
        <v>111</v>
      </c>
      <c r="B479" s="322" t="s">
        <v>742</v>
      </c>
      <c r="C479" s="207">
        <f t="shared" si="32"/>
        <v>50</v>
      </c>
      <c r="D479" s="176">
        <v>50</v>
      </c>
      <c r="E479" s="176"/>
      <c r="F479" s="207"/>
      <c r="G479" s="207"/>
      <c r="H479" s="207"/>
      <c r="I479" s="224"/>
    </row>
    <row r="480" spans="1:9" ht="26.4" x14ac:dyDescent="0.25">
      <c r="A480" s="205">
        <v>112</v>
      </c>
      <c r="B480" s="322" t="s">
        <v>743</v>
      </c>
      <c r="C480" s="207">
        <f t="shared" si="32"/>
        <v>318.85000000000002</v>
      </c>
      <c r="D480" s="176">
        <v>318.85000000000002</v>
      </c>
      <c r="E480" s="176"/>
      <c r="F480" s="207"/>
      <c r="G480" s="207"/>
      <c r="H480" s="207"/>
      <c r="I480" s="224"/>
    </row>
    <row r="481" spans="1:9" ht="39.6" x14ac:dyDescent="0.25">
      <c r="A481" s="205">
        <v>113</v>
      </c>
      <c r="B481" s="322" t="s">
        <v>744</v>
      </c>
      <c r="C481" s="207">
        <f t="shared" si="32"/>
        <v>297</v>
      </c>
      <c r="D481" s="176">
        <v>297</v>
      </c>
      <c r="E481" s="176"/>
      <c r="F481" s="207"/>
      <c r="G481" s="207"/>
      <c r="H481" s="207"/>
      <c r="I481" s="224"/>
    </row>
    <row r="482" spans="1:9" x14ac:dyDescent="0.25">
      <c r="A482" s="205">
        <v>114</v>
      </c>
      <c r="B482" s="322" t="s">
        <v>745</v>
      </c>
      <c r="C482" s="207">
        <f t="shared" si="32"/>
        <v>236.33</v>
      </c>
      <c r="D482" s="176">
        <v>236.33</v>
      </c>
      <c r="E482" s="176"/>
      <c r="F482" s="207"/>
      <c r="G482" s="207"/>
      <c r="H482" s="207"/>
      <c r="I482" s="224"/>
    </row>
    <row r="483" spans="1:9" x14ac:dyDescent="0.25">
      <c r="A483" s="205">
        <v>115</v>
      </c>
      <c r="B483" s="322" t="s">
        <v>746</v>
      </c>
      <c r="C483" s="207">
        <f t="shared" si="32"/>
        <v>288</v>
      </c>
      <c r="D483" s="176">
        <v>288</v>
      </c>
      <c r="E483" s="176"/>
      <c r="F483" s="207"/>
      <c r="G483" s="207"/>
      <c r="H483" s="207"/>
      <c r="I483" s="224"/>
    </row>
    <row r="484" spans="1:9" ht="26.4" x14ac:dyDescent="0.25">
      <c r="A484" s="205">
        <v>116</v>
      </c>
      <c r="B484" s="322" t="s">
        <v>747</v>
      </c>
      <c r="C484" s="207">
        <f t="shared" si="32"/>
        <v>305.45999999999998</v>
      </c>
      <c r="D484" s="176">
        <v>305.45999999999998</v>
      </c>
      <c r="E484" s="176"/>
      <c r="F484" s="207"/>
      <c r="G484" s="207"/>
      <c r="H484" s="207"/>
      <c r="I484" s="224"/>
    </row>
    <row r="485" spans="1:9" ht="26.4" x14ac:dyDescent="0.25">
      <c r="A485" s="205">
        <v>117</v>
      </c>
      <c r="B485" s="322" t="s">
        <v>748</v>
      </c>
      <c r="C485" s="207">
        <f t="shared" si="32"/>
        <v>299</v>
      </c>
      <c r="D485" s="176">
        <v>299</v>
      </c>
      <c r="E485" s="176"/>
      <c r="F485" s="207"/>
      <c r="G485" s="207"/>
      <c r="H485" s="207"/>
      <c r="I485" s="224"/>
    </row>
    <row r="486" spans="1:9" x14ac:dyDescent="0.25">
      <c r="A486" s="205">
        <v>118</v>
      </c>
      <c r="B486" s="322" t="s">
        <v>749</v>
      </c>
      <c r="C486" s="207">
        <f t="shared" si="32"/>
        <v>250</v>
      </c>
      <c r="D486" s="176">
        <v>250</v>
      </c>
      <c r="E486" s="176"/>
      <c r="F486" s="207"/>
      <c r="G486" s="207"/>
      <c r="H486" s="207"/>
      <c r="I486" s="224"/>
    </row>
    <row r="487" spans="1:9" ht="26.4" x14ac:dyDescent="0.25">
      <c r="A487" s="205">
        <v>119</v>
      </c>
      <c r="B487" s="322" t="s">
        <v>750</v>
      </c>
      <c r="C487" s="207">
        <f t="shared" si="32"/>
        <v>270</v>
      </c>
      <c r="D487" s="176">
        <v>270</v>
      </c>
      <c r="E487" s="176"/>
      <c r="F487" s="207"/>
      <c r="G487" s="207"/>
      <c r="H487" s="207"/>
      <c r="I487" s="224"/>
    </row>
    <row r="488" spans="1:9" ht="26.4" x14ac:dyDescent="0.25">
      <c r="A488" s="205">
        <v>120</v>
      </c>
      <c r="B488" s="322" t="s">
        <v>751</v>
      </c>
      <c r="C488" s="207">
        <f t="shared" si="32"/>
        <v>301</v>
      </c>
      <c r="D488" s="176">
        <v>301</v>
      </c>
      <c r="E488" s="176"/>
      <c r="F488" s="207"/>
      <c r="G488" s="207"/>
      <c r="H488" s="207"/>
      <c r="I488" s="224"/>
    </row>
    <row r="489" spans="1:9" ht="26.4" x14ac:dyDescent="0.25">
      <c r="A489" s="205">
        <v>121</v>
      </c>
      <c r="B489" s="322" t="s">
        <v>752</v>
      </c>
      <c r="C489" s="207">
        <f t="shared" si="32"/>
        <v>212</v>
      </c>
      <c r="D489" s="176">
        <v>212</v>
      </c>
      <c r="E489" s="176"/>
      <c r="F489" s="207"/>
      <c r="G489" s="207"/>
      <c r="H489" s="207"/>
      <c r="I489" s="224"/>
    </row>
    <row r="490" spans="1:9" ht="39.6" x14ac:dyDescent="0.25">
      <c r="A490" s="205">
        <v>122</v>
      </c>
      <c r="B490" s="322" t="s">
        <v>753</v>
      </c>
      <c r="C490" s="207">
        <f t="shared" si="32"/>
        <v>261.45999999999998</v>
      </c>
      <c r="D490" s="176">
        <v>261.45999999999998</v>
      </c>
      <c r="E490" s="176"/>
      <c r="F490" s="207"/>
      <c r="G490" s="207"/>
      <c r="H490" s="207"/>
      <c r="I490" s="224"/>
    </row>
    <row r="491" spans="1:9" ht="40.200000000000003" thickBot="1" x14ac:dyDescent="0.3">
      <c r="A491" s="212">
        <v>123</v>
      </c>
      <c r="B491" s="340" t="s">
        <v>754</v>
      </c>
      <c r="C491" s="214">
        <f t="shared" si="32"/>
        <v>290</v>
      </c>
      <c r="D491" s="229">
        <v>290</v>
      </c>
      <c r="E491" s="229"/>
      <c r="F491" s="214"/>
      <c r="G491" s="214"/>
      <c r="H491" s="214"/>
      <c r="I491" s="230"/>
    </row>
    <row r="492" spans="1:9" ht="13.8" thickBot="1" x14ac:dyDescent="0.3">
      <c r="A492" s="259" t="s">
        <v>755</v>
      </c>
      <c r="B492" s="273" t="s">
        <v>296</v>
      </c>
      <c r="C492" s="261">
        <f t="shared" ref="C492:I492" si="33">SUM(C493:C598)</f>
        <v>1070306.8761300002</v>
      </c>
      <c r="D492" s="261">
        <f t="shared" si="33"/>
        <v>133768.20325200004</v>
      </c>
      <c r="E492" s="261">
        <f t="shared" si="33"/>
        <v>220932.50999999995</v>
      </c>
      <c r="F492" s="261">
        <f t="shared" si="33"/>
        <v>204275.03</v>
      </c>
      <c r="G492" s="261">
        <f t="shared" si="33"/>
        <v>0</v>
      </c>
      <c r="H492" s="261">
        <f t="shared" si="33"/>
        <v>25981.599999999999</v>
      </c>
      <c r="I492" s="262">
        <f t="shared" si="33"/>
        <v>485349.532878</v>
      </c>
    </row>
    <row r="493" spans="1:9" ht="39.6" x14ac:dyDescent="0.25">
      <c r="A493" s="341">
        <v>1</v>
      </c>
      <c r="B493" s="342" t="s">
        <v>756</v>
      </c>
      <c r="C493" s="237">
        <f t="shared" si="32"/>
        <v>39799.53</v>
      </c>
      <c r="D493" s="238">
        <v>4000</v>
      </c>
      <c r="E493" s="238">
        <v>4477.6000000000004</v>
      </c>
      <c r="F493" s="343">
        <v>10000</v>
      </c>
      <c r="G493" s="238"/>
      <c r="H493" s="238"/>
      <c r="I493" s="344">
        <v>21321.93</v>
      </c>
    </row>
    <row r="494" spans="1:9" ht="39.6" x14ac:dyDescent="0.25">
      <c r="A494" s="345">
        <v>2</v>
      </c>
      <c r="B494" s="322" t="s">
        <v>757</v>
      </c>
      <c r="C494" s="286">
        <f t="shared" si="32"/>
        <v>2336.58</v>
      </c>
      <c r="D494" s="246">
        <v>100</v>
      </c>
      <c r="E494" s="246">
        <v>1095.47</v>
      </c>
      <c r="F494" s="246"/>
      <c r="G494" s="246"/>
      <c r="H494" s="246"/>
      <c r="I494" s="346">
        <v>1141.1099999999999</v>
      </c>
    </row>
    <row r="495" spans="1:9" ht="26.4" x14ac:dyDescent="0.25">
      <c r="A495" s="345">
        <v>3</v>
      </c>
      <c r="B495" s="243" t="s">
        <v>758</v>
      </c>
      <c r="C495" s="286">
        <f t="shared" si="32"/>
        <v>2366.0340000000006</v>
      </c>
      <c r="D495" s="246">
        <v>946.23400000000015</v>
      </c>
      <c r="E495" s="246">
        <v>246.41</v>
      </c>
      <c r="F495" s="246"/>
      <c r="G495" s="246"/>
      <c r="H495" s="246"/>
      <c r="I495" s="346">
        <v>1173.3900000000001</v>
      </c>
    </row>
    <row r="496" spans="1:9" ht="39.6" x14ac:dyDescent="0.25">
      <c r="A496" s="345">
        <v>4</v>
      </c>
      <c r="B496" s="243" t="s">
        <v>759</v>
      </c>
      <c r="C496" s="286">
        <f t="shared" si="32"/>
        <v>4843.1900000000005</v>
      </c>
      <c r="D496" s="246">
        <v>1436.81</v>
      </c>
      <c r="E496" s="246">
        <v>591.19000000000005</v>
      </c>
      <c r="F496" s="246"/>
      <c r="G496" s="246"/>
      <c r="H496" s="246"/>
      <c r="I496" s="346">
        <v>2815.19</v>
      </c>
    </row>
    <row r="497" spans="1:9" ht="52.8" x14ac:dyDescent="0.25">
      <c r="A497" s="345">
        <v>5</v>
      </c>
      <c r="B497" s="243" t="s">
        <v>760</v>
      </c>
      <c r="C497" s="286">
        <f t="shared" ref="C497:C560" si="34">SUM(D497:I497)</f>
        <v>9602.4700000000012</v>
      </c>
      <c r="D497" s="246">
        <v>300</v>
      </c>
      <c r="E497" s="246">
        <v>1234</v>
      </c>
      <c r="F497" s="246"/>
      <c r="G497" s="246"/>
      <c r="H497" s="246"/>
      <c r="I497" s="346">
        <v>8068.47</v>
      </c>
    </row>
    <row r="498" spans="1:9" ht="52.8" x14ac:dyDescent="0.25">
      <c r="A498" s="345">
        <v>6</v>
      </c>
      <c r="B498" s="243" t="s">
        <v>761</v>
      </c>
      <c r="C498" s="286">
        <f t="shared" si="34"/>
        <v>7560.9160000000011</v>
      </c>
      <c r="D498" s="246">
        <v>4719.8260000000009</v>
      </c>
      <c r="E498" s="246">
        <v>493.08</v>
      </c>
      <c r="F498" s="246"/>
      <c r="G498" s="246"/>
      <c r="H498" s="246"/>
      <c r="I498" s="346">
        <v>2348.0100000000002</v>
      </c>
    </row>
    <row r="499" spans="1:9" ht="39.6" x14ac:dyDescent="0.25">
      <c r="A499" s="345">
        <v>7</v>
      </c>
      <c r="B499" s="322" t="s">
        <v>762</v>
      </c>
      <c r="C499" s="286">
        <f t="shared" si="34"/>
        <v>5999.3670000000011</v>
      </c>
      <c r="D499" s="246">
        <v>4391.0370000000012</v>
      </c>
      <c r="E499" s="246">
        <v>279.13</v>
      </c>
      <c r="F499" s="246"/>
      <c r="G499" s="246"/>
      <c r="H499" s="246"/>
      <c r="I499" s="346">
        <v>1329.2</v>
      </c>
    </row>
    <row r="500" spans="1:9" ht="26.4" x14ac:dyDescent="0.25">
      <c r="A500" s="345">
        <v>8</v>
      </c>
      <c r="B500" s="322" t="s">
        <v>763</v>
      </c>
      <c r="C500" s="286">
        <f t="shared" si="34"/>
        <v>2372.0729999999999</v>
      </c>
      <c r="D500" s="246">
        <v>1458.913</v>
      </c>
      <c r="E500" s="246">
        <v>158.47999999999999</v>
      </c>
      <c r="F500" s="246"/>
      <c r="G500" s="246"/>
      <c r="H500" s="246"/>
      <c r="I500" s="346">
        <v>754.68</v>
      </c>
    </row>
    <row r="501" spans="1:9" ht="39.6" x14ac:dyDescent="0.25">
      <c r="A501" s="345">
        <v>9</v>
      </c>
      <c r="B501" s="322" t="s">
        <v>764</v>
      </c>
      <c r="C501" s="286">
        <f t="shared" si="34"/>
        <v>5120.4670000000006</v>
      </c>
      <c r="D501" s="246">
        <v>750.82700000000068</v>
      </c>
      <c r="E501" s="246">
        <v>758.37</v>
      </c>
      <c r="F501" s="246"/>
      <c r="G501" s="246"/>
      <c r="H501" s="246"/>
      <c r="I501" s="346">
        <v>3611.27</v>
      </c>
    </row>
    <row r="502" spans="1:9" x14ac:dyDescent="0.25">
      <c r="A502" s="345">
        <v>10</v>
      </c>
      <c r="B502" s="322" t="s">
        <v>765</v>
      </c>
      <c r="C502" s="286">
        <f t="shared" si="34"/>
        <v>15</v>
      </c>
      <c r="D502" s="246">
        <v>15</v>
      </c>
      <c r="E502" s="246"/>
      <c r="F502" s="246"/>
      <c r="G502" s="246"/>
      <c r="H502" s="246"/>
      <c r="I502" s="346"/>
    </row>
    <row r="503" spans="1:9" x14ac:dyDescent="0.25">
      <c r="A503" s="345">
        <v>11</v>
      </c>
      <c r="B503" s="322" t="s">
        <v>766</v>
      </c>
      <c r="C503" s="286">
        <f t="shared" si="34"/>
        <v>20</v>
      </c>
      <c r="D503" s="246">
        <v>20</v>
      </c>
      <c r="E503" s="246"/>
      <c r="F503" s="246"/>
      <c r="G503" s="246"/>
      <c r="H503" s="246"/>
      <c r="I503" s="346"/>
    </row>
    <row r="504" spans="1:9" ht="26.4" x14ac:dyDescent="0.25">
      <c r="A504" s="345">
        <v>12</v>
      </c>
      <c r="B504" s="322" t="s">
        <v>767</v>
      </c>
      <c r="C504" s="286">
        <f t="shared" si="34"/>
        <v>15</v>
      </c>
      <c r="D504" s="246">
        <v>15</v>
      </c>
      <c r="E504" s="246"/>
      <c r="F504" s="246"/>
      <c r="G504" s="246"/>
      <c r="H504" s="246"/>
      <c r="I504" s="346"/>
    </row>
    <row r="505" spans="1:9" ht="66" x14ac:dyDescent="0.25">
      <c r="A505" s="345">
        <v>13</v>
      </c>
      <c r="B505" s="322" t="s">
        <v>768</v>
      </c>
      <c r="C505" s="286">
        <f t="shared" si="34"/>
        <v>4</v>
      </c>
      <c r="D505" s="246">
        <v>4</v>
      </c>
      <c r="E505" s="246"/>
      <c r="F505" s="246"/>
      <c r="G505" s="246"/>
      <c r="H505" s="246"/>
      <c r="I505" s="346"/>
    </row>
    <row r="506" spans="1:9" ht="52.8" x14ac:dyDescent="0.25">
      <c r="A506" s="345">
        <v>14</v>
      </c>
      <c r="B506" s="243" t="s">
        <v>769</v>
      </c>
      <c r="C506" s="286">
        <f t="shared" si="34"/>
        <v>9920.724000000002</v>
      </c>
      <c r="D506" s="246">
        <v>3051.1940000000004</v>
      </c>
      <c r="E506" s="246">
        <v>1192.23</v>
      </c>
      <c r="F506" s="246"/>
      <c r="G506" s="246"/>
      <c r="H506" s="246"/>
      <c r="I506" s="346">
        <v>5677.3</v>
      </c>
    </row>
    <row r="507" spans="1:9" ht="52.8" x14ac:dyDescent="0.25">
      <c r="A507" s="345">
        <v>15</v>
      </c>
      <c r="B507" s="243" t="s">
        <v>770</v>
      </c>
      <c r="C507" s="286">
        <f t="shared" si="34"/>
        <v>1838.6830000000002</v>
      </c>
      <c r="D507" s="246">
        <v>1838.6830000000002</v>
      </c>
      <c r="E507" s="246"/>
      <c r="F507" s="246"/>
      <c r="G507" s="246"/>
      <c r="H507" s="246"/>
      <c r="I507" s="346"/>
    </row>
    <row r="508" spans="1:9" ht="39.6" x14ac:dyDescent="0.25">
      <c r="A508" s="345">
        <v>16</v>
      </c>
      <c r="B508" s="243" t="s">
        <v>771</v>
      </c>
      <c r="C508" s="286">
        <f t="shared" si="34"/>
        <v>9476.3570000000036</v>
      </c>
      <c r="D508" s="246">
        <v>3955.6270000000022</v>
      </c>
      <c r="E508" s="246">
        <v>958.14</v>
      </c>
      <c r="F508" s="246"/>
      <c r="G508" s="246"/>
      <c r="H508" s="246"/>
      <c r="I508" s="346">
        <v>4562.59</v>
      </c>
    </row>
    <row r="509" spans="1:9" ht="26.4" x14ac:dyDescent="0.25">
      <c r="A509" s="345">
        <v>17</v>
      </c>
      <c r="B509" s="243" t="s">
        <v>772</v>
      </c>
      <c r="C509" s="286">
        <f t="shared" si="34"/>
        <v>16340.071000000002</v>
      </c>
      <c r="D509" s="246">
        <v>1726.6610000000019</v>
      </c>
      <c r="E509" s="246">
        <v>1321.34</v>
      </c>
      <c r="F509" s="347">
        <v>7000</v>
      </c>
      <c r="G509" s="246"/>
      <c r="H509" s="246"/>
      <c r="I509" s="346">
        <v>6292.07</v>
      </c>
    </row>
    <row r="510" spans="1:9" ht="39.6" x14ac:dyDescent="0.25">
      <c r="A510" s="345">
        <v>18</v>
      </c>
      <c r="B510" s="243" t="s">
        <v>773</v>
      </c>
      <c r="C510" s="286">
        <f t="shared" si="34"/>
        <v>4548.2139999999999</v>
      </c>
      <c r="D510" s="246">
        <v>1965.9139999999998</v>
      </c>
      <c r="E510" s="246">
        <v>448.17</v>
      </c>
      <c r="F510" s="246"/>
      <c r="G510" s="246"/>
      <c r="H510" s="246"/>
      <c r="I510" s="346">
        <v>2134.13</v>
      </c>
    </row>
    <row r="511" spans="1:9" ht="52.8" x14ac:dyDescent="0.25">
      <c r="A511" s="345">
        <v>19</v>
      </c>
      <c r="B511" s="243" t="s">
        <v>774</v>
      </c>
      <c r="C511" s="286">
        <f t="shared" si="34"/>
        <v>3857.1059999999998</v>
      </c>
      <c r="D511" s="246">
        <v>2053.2359999999999</v>
      </c>
      <c r="E511" s="246">
        <v>313.07</v>
      </c>
      <c r="F511" s="246"/>
      <c r="G511" s="246"/>
      <c r="H511" s="246"/>
      <c r="I511" s="346">
        <v>1490.8</v>
      </c>
    </row>
    <row r="512" spans="1:9" ht="39.6" x14ac:dyDescent="0.25">
      <c r="A512" s="345">
        <v>20</v>
      </c>
      <c r="B512" s="243" t="s">
        <v>775</v>
      </c>
      <c r="C512" s="286">
        <f t="shared" si="34"/>
        <v>2370.7200000000003</v>
      </c>
      <c r="D512" s="246">
        <v>1520.5400000000004</v>
      </c>
      <c r="E512" s="246">
        <v>147.55000000000001</v>
      </c>
      <c r="F512" s="246"/>
      <c r="G512" s="246"/>
      <c r="H512" s="246"/>
      <c r="I512" s="346">
        <v>702.63</v>
      </c>
    </row>
    <row r="513" spans="1:9" ht="39.6" x14ac:dyDescent="0.25">
      <c r="A513" s="345">
        <v>21</v>
      </c>
      <c r="B513" s="243" t="s">
        <v>776</v>
      </c>
      <c r="C513" s="286">
        <f t="shared" si="34"/>
        <v>1294.3700000000003</v>
      </c>
      <c r="D513" s="246">
        <v>871.6500000000002</v>
      </c>
      <c r="E513" s="246">
        <v>73.36</v>
      </c>
      <c r="F513" s="246"/>
      <c r="G513" s="246"/>
      <c r="H513" s="246"/>
      <c r="I513" s="346">
        <v>349.36</v>
      </c>
    </row>
    <row r="514" spans="1:9" ht="26.4" x14ac:dyDescent="0.25">
      <c r="A514" s="345">
        <v>22</v>
      </c>
      <c r="B514" s="243" t="s">
        <v>777</v>
      </c>
      <c r="C514" s="286">
        <f t="shared" si="34"/>
        <v>5432.3600000000006</v>
      </c>
      <c r="D514" s="246">
        <v>200</v>
      </c>
      <c r="E514" s="246">
        <v>694.09</v>
      </c>
      <c r="F514" s="246"/>
      <c r="G514" s="246"/>
      <c r="H514" s="246"/>
      <c r="I514" s="346">
        <v>4538.2700000000004</v>
      </c>
    </row>
    <row r="515" spans="1:9" ht="52.8" x14ac:dyDescent="0.25">
      <c r="A515" s="345">
        <v>23</v>
      </c>
      <c r="B515" s="243" t="s">
        <v>638</v>
      </c>
      <c r="C515" s="286">
        <f t="shared" si="34"/>
        <v>231</v>
      </c>
      <c r="D515" s="246">
        <v>231</v>
      </c>
      <c r="E515" s="246"/>
      <c r="F515" s="246"/>
      <c r="G515" s="246"/>
      <c r="H515" s="246"/>
      <c r="I515" s="346"/>
    </row>
    <row r="516" spans="1:9" ht="39.6" x14ac:dyDescent="0.25">
      <c r="A516" s="345">
        <v>24</v>
      </c>
      <c r="B516" s="243" t="s">
        <v>778</v>
      </c>
      <c r="C516" s="286">
        <f t="shared" si="34"/>
        <v>9</v>
      </c>
      <c r="D516" s="246">
        <v>9</v>
      </c>
      <c r="E516" s="246"/>
      <c r="F516" s="246"/>
      <c r="G516" s="246"/>
      <c r="H516" s="246"/>
      <c r="I516" s="346"/>
    </row>
    <row r="517" spans="1:9" ht="52.8" x14ac:dyDescent="0.25">
      <c r="A517" s="345">
        <v>25</v>
      </c>
      <c r="B517" s="243" t="s">
        <v>779</v>
      </c>
      <c r="C517" s="286">
        <f t="shared" si="34"/>
        <v>21216.48</v>
      </c>
      <c r="D517" s="246">
        <v>1500</v>
      </c>
      <c r="E517" s="246">
        <v>2554.1</v>
      </c>
      <c r="F517" s="347">
        <v>5000</v>
      </c>
      <c r="G517" s="246"/>
      <c r="H517" s="246"/>
      <c r="I517" s="346">
        <v>12162.38</v>
      </c>
    </row>
    <row r="518" spans="1:9" ht="52.8" x14ac:dyDescent="0.25">
      <c r="A518" s="345">
        <v>26</v>
      </c>
      <c r="B518" s="243" t="s">
        <v>780</v>
      </c>
      <c r="C518" s="286">
        <f t="shared" si="34"/>
        <v>17525.101000000002</v>
      </c>
      <c r="D518" s="246">
        <v>1352.211000000003</v>
      </c>
      <c r="E518" s="246">
        <v>2112.65</v>
      </c>
      <c r="F518" s="347">
        <v>4000</v>
      </c>
      <c r="G518" s="246"/>
      <c r="H518" s="246"/>
      <c r="I518" s="346">
        <v>10060.24</v>
      </c>
    </row>
    <row r="519" spans="1:9" ht="52.8" x14ac:dyDescent="0.25">
      <c r="A519" s="345">
        <v>27</v>
      </c>
      <c r="B519" s="243" t="s">
        <v>781</v>
      </c>
      <c r="C519" s="286">
        <f t="shared" si="34"/>
        <v>25566.640000000003</v>
      </c>
      <c r="D519" s="246">
        <v>2289.6400000000031</v>
      </c>
      <c r="E519" s="246">
        <v>2824.93</v>
      </c>
      <c r="F519" s="347">
        <v>7000</v>
      </c>
      <c r="G519" s="246"/>
      <c r="H519" s="246"/>
      <c r="I519" s="346">
        <v>13452.07</v>
      </c>
    </row>
    <row r="520" spans="1:9" ht="52.8" x14ac:dyDescent="0.25">
      <c r="A520" s="345">
        <v>28</v>
      </c>
      <c r="B520" s="243" t="s">
        <v>782</v>
      </c>
      <c r="C520" s="286">
        <f t="shared" si="34"/>
        <v>9296.9470000000019</v>
      </c>
      <c r="D520" s="246">
        <v>1658.2270000000017</v>
      </c>
      <c r="E520" s="246">
        <v>811.74</v>
      </c>
      <c r="F520" s="347">
        <v>2961.54</v>
      </c>
      <c r="G520" s="246"/>
      <c r="H520" s="246"/>
      <c r="I520" s="346">
        <v>3865.44</v>
      </c>
    </row>
    <row r="521" spans="1:9" ht="66" x14ac:dyDescent="0.25">
      <c r="A521" s="345">
        <v>29</v>
      </c>
      <c r="B521" s="348" t="s">
        <v>783</v>
      </c>
      <c r="C521" s="286">
        <f t="shared" si="34"/>
        <v>3186.3150000000005</v>
      </c>
      <c r="D521" s="246">
        <v>3186.3150000000005</v>
      </c>
      <c r="E521" s="246"/>
      <c r="F521" s="246"/>
      <c r="G521" s="246"/>
      <c r="H521" s="246"/>
      <c r="I521" s="346"/>
    </row>
    <row r="522" spans="1:9" ht="66" x14ac:dyDescent="0.25">
      <c r="A522" s="345">
        <v>30</v>
      </c>
      <c r="B522" s="348" t="s">
        <v>784</v>
      </c>
      <c r="C522" s="286">
        <f t="shared" si="34"/>
        <v>10870.970000000001</v>
      </c>
      <c r="D522" s="246">
        <v>1515.6800000000003</v>
      </c>
      <c r="E522" s="246">
        <v>577.74</v>
      </c>
      <c r="F522" s="347">
        <v>5000</v>
      </c>
      <c r="G522" s="246"/>
      <c r="H522" s="246"/>
      <c r="I522" s="346">
        <v>3777.55</v>
      </c>
    </row>
    <row r="523" spans="1:9" ht="52.8" x14ac:dyDescent="0.25">
      <c r="A523" s="345">
        <v>31</v>
      </c>
      <c r="B523" s="243" t="s">
        <v>785</v>
      </c>
      <c r="C523" s="286">
        <f t="shared" si="34"/>
        <v>11420.794000000002</v>
      </c>
      <c r="D523" s="246">
        <v>1297.0540000000019</v>
      </c>
      <c r="E523" s="246">
        <v>889.24</v>
      </c>
      <c r="F523" s="347">
        <v>5000</v>
      </c>
      <c r="G523" s="246"/>
      <c r="H523" s="246"/>
      <c r="I523" s="346">
        <v>4234.5</v>
      </c>
    </row>
    <row r="524" spans="1:9" ht="39.6" x14ac:dyDescent="0.25">
      <c r="A524" s="345">
        <v>32</v>
      </c>
      <c r="B524" s="243" t="s">
        <v>786</v>
      </c>
      <c r="C524" s="286">
        <f t="shared" si="34"/>
        <v>49572.729999999996</v>
      </c>
      <c r="D524" s="246">
        <v>5000</v>
      </c>
      <c r="E524" s="246">
        <v>4611.8</v>
      </c>
      <c r="F524" s="347">
        <v>18000</v>
      </c>
      <c r="G524" s="246"/>
      <c r="H524" s="246"/>
      <c r="I524" s="346">
        <v>21960.93</v>
      </c>
    </row>
    <row r="525" spans="1:9" ht="52.8" x14ac:dyDescent="0.25">
      <c r="A525" s="345">
        <v>33</v>
      </c>
      <c r="B525" s="243" t="s">
        <v>787</v>
      </c>
      <c r="C525" s="286">
        <f t="shared" si="34"/>
        <v>43134.83</v>
      </c>
      <c r="D525" s="246">
        <v>5000</v>
      </c>
      <c r="E525" s="246">
        <v>3494.47</v>
      </c>
      <c r="F525" s="347">
        <v>18000</v>
      </c>
      <c r="G525" s="246"/>
      <c r="H525" s="246"/>
      <c r="I525" s="346">
        <v>16640.36</v>
      </c>
    </row>
    <row r="526" spans="1:9" ht="26.4" x14ac:dyDescent="0.25">
      <c r="A526" s="345">
        <v>34</v>
      </c>
      <c r="B526" s="243" t="s">
        <v>788</v>
      </c>
      <c r="C526" s="286">
        <f t="shared" si="34"/>
        <v>19583.88</v>
      </c>
      <c r="D526" s="246">
        <v>3448.27</v>
      </c>
      <c r="E526" s="246">
        <v>1064.8599999999999</v>
      </c>
      <c r="F526" s="347">
        <v>10000</v>
      </c>
      <c r="G526" s="246"/>
      <c r="H526" s="246"/>
      <c r="I526" s="346">
        <v>5070.75</v>
      </c>
    </row>
    <row r="527" spans="1:9" ht="39.6" x14ac:dyDescent="0.25">
      <c r="A527" s="345">
        <v>35</v>
      </c>
      <c r="B527" s="243" t="s">
        <v>789</v>
      </c>
      <c r="C527" s="286">
        <f t="shared" si="34"/>
        <v>6090.898000000001</v>
      </c>
      <c r="D527" s="246">
        <v>3077.4480000000012</v>
      </c>
      <c r="E527" s="246">
        <v>502.24</v>
      </c>
      <c r="F527" s="246"/>
      <c r="G527" s="246"/>
      <c r="H527" s="246"/>
      <c r="I527" s="346">
        <v>2511.21</v>
      </c>
    </row>
    <row r="528" spans="1:9" ht="26.4" x14ac:dyDescent="0.25">
      <c r="A528" s="345">
        <v>36</v>
      </c>
      <c r="B528" s="243" t="s">
        <v>790</v>
      </c>
      <c r="C528" s="286">
        <f t="shared" si="34"/>
        <v>9182.17</v>
      </c>
      <c r="D528" s="246">
        <v>200</v>
      </c>
      <c r="E528" s="246">
        <v>1191.5</v>
      </c>
      <c r="F528" s="246"/>
      <c r="G528" s="246"/>
      <c r="H528" s="246"/>
      <c r="I528" s="346">
        <v>7790.67</v>
      </c>
    </row>
    <row r="529" spans="1:9" ht="52.8" x14ac:dyDescent="0.25">
      <c r="A529" s="345">
        <v>37</v>
      </c>
      <c r="B529" s="243" t="s">
        <v>791</v>
      </c>
      <c r="C529" s="286">
        <f t="shared" si="34"/>
        <v>20263.560000000001</v>
      </c>
      <c r="D529" s="246">
        <v>500</v>
      </c>
      <c r="E529" s="246">
        <v>2621.7</v>
      </c>
      <c r="F529" s="246"/>
      <c r="G529" s="246"/>
      <c r="H529" s="246"/>
      <c r="I529" s="346">
        <v>17141.86</v>
      </c>
    </row>
    <row r="530" spans="1:9" ht="39.6" x14ac:dyDescent="0.25">
      <c r="A530" s="345">
        <v>38</v>
      </c>
      <c r="B530" s="243" t="s">
        <v>643</v>
      </c>
      <c r="C530" s="286">
        <f t="shared" si="34"/>
        <v>63</v>
      </c>
      <c r="D530" s="246">
        <v>63</v>
      </c>
      <c r="E530" s="246"/>
      <c r="F530" s="246"/>
      <c r="G530" s="246"/>
      <c r="H530" s="246"/>
      <c r="I530" s="346"/>
    </row>
    <row r="531" spans="1:9" ht="52.8" x14ac:dyDescent="0.25">
      <c r="A531" s="345">
        <v>39</v>
      </c>
      <c r="B531" s="243" t="s">
        <v>792</v>
      </c>
      <c r="C531" s="286">
        <f t="shared" si="34"/>
        <v>23440.799999999999</v>
      </c>
      <c r="D531" s="246">
        <v>500</v>
      </c>
      <c r="E531" s="246">
        <v>11236.31</v>
      </c>
      <c r="F531" s="246"/>
      <c r="G531" s="246"/>
      <c r="H531" s="246"/>
      <c r="I531" s="346">
        <v>11704.49</v>
      </c>
    </row>
    <row r="532" spans="1:9" ht="26.4" x14ac:dyDescent="0.25">
      <c r="A532" s="345">
        <v>40</v>
      </c>
      <c r="B532" s="349" t="s">
        <v>793</v>
      </c>
      <c r="C532" s="286">
        <f t="shared" si="34"/>
        <v>5500</v>
      </c>
      <c r="D532" s="246">
        <v>500</v>
      </c>
      <c r="E532" s="246">
        <v>867.77</v>
      </c>
      <c r="F532" s="246"/>
      <c r="G532" s="246"/>
      <c r="H532" s="246"/>
      <c r="I532" s="346">
        <v>4132.2299999999996</v>
      </c>
    </row>
    <row r="533" spans="1:9" x14ac:dyDescent="0.25">
      <c r="A533" s="345">
        <v>41</v>
      </c>
      <c r="B533" s="349" t="s">
        <v>794</v>
      </c>
      <c r="C533" s="286">
        <f t="shared" si="34"/>
        <v>60</v>
      </c>
      <c r="D533" s="246">
        <v>60</v>
      </c>
      <c r="E533" s="246"/>
      <c r="F533" s="246"/>
      <c r="G533" s="246"/>
      <c r="H533" s="246"/>
      <c r="I533" s="346"/>
    </row>
    <row r="534" spans="1:9" ht="26.4" x14ac:dyDescent="0.25">
      <c r="A534" s="345">
        <v>42</v>
      </c>
      <c r="B534" s="349" t="s">
        <v>795</v>
      </c>
      <c r="C534" s="286">
        <f t="shared" si="34"/>
        <v>67232.95</v>
      </c>
      <c r="D534" s="246">
        <v>27</v>
      </c>
      <c r="E534" s="246">
        <v>11663.84</v>
      </c>
      <c r="F534" s="246"/>
      <c r="G534" s="246"/>
      <c r="H534" s="246"/>
      <c r="I534" s="346">
        <v>55542.11</v>
      </c>
    </row>
    <row r="535" spans="1:9" ht="39.6" x14ac:dyDescent="0.25">
      <c r="A535" s="345">
        <v>43</v>
      </c>
      <c r="B535" s="349" t="s">
        <v>796</v>
      </c>
      <c r="C535" s="286">
        <f t="shared" si="34"/>
        <v>12300</v>
      </c>
      <c r="D535" s="246">
        <v>12300</v>
      </c>
      <c r="E535" s="246"/>
      <c r="F535" s="246"/>
      <c r="G535" s="246"/>
      <c r="H535" s="246"/>
      <c r="I535" s="346"/>
    </row>
    <row r="536" spans="1:9" ht="26.4" x14ac:dyDescent="0.25">
      <c r="A536" s="345">
        <v>44</v>
      </c>
      <c r="B536" s="349" t="s">
        <v>797</v>
      </c>
      <c r="C536" s="286">
        <f t="shared" si="34"/>
        <v>8079.4670000000006</v>
      </c>
      <c r="D536" s="246">
        <v>2689.4670000000006</v>
      </c>
      <c r="E536" s="246">
        <v>715</v>
      </c>
      <c r="F536" s="246"/>
      <c r="G536" s="246"/>
      <c r="H536" s="246"/>
      <c r="I536" s="346">
        <v>4675</v>
      </c>
    </row>
    <row r="537" spans="1:9" ht="26.4" x14ac:dyDescent="0.25">
      <c r="A537" s="345">
        <v>45</v>
      </c>
      <c r="B537" s="349" t="s">
        <v>798</v>
      </c>
      <c r="C537" s="286">
        <f t="shared" si="34"/>
        <v>45</v>
      </c>
      <c r="D537" s="246">
        <v>12.89</v>
      </c>
      <c r="E537" s="246"/>
      <c r="F537" s="246">
        <v>32.11</v>
      </c>
      <c r="G537" s="246"/>
      <c r="H537" s="246"/>
      <c r="I537" s="346"/>
    </row>
    <row r="538" spans="1:9" ht="52.8" x14ac:dyDescent="0.25">
      <c r="A538" s="345">
        <v>46</v>
      </c>
      <c r="B538" s="349" t="s">
        <v>799</v>
      </c>
      <c r="C538" s="286">
        <f t="shared" si="34"/>
        <v>30273.177000000003</v>
      </c>
      <c r="D538" s="246">
        <v>6722.2170000000042</v>
      </c>
      <c r="E538" s="246">
        <v>4087.36</v>
      </c>
      <c r="F538" s="246"/>
      <c r="G538" s="246"/>
      <c r="H538" s="246"/>
      <c r="I538" s="346">
        <v>19463.599999999999</v>
      </c>
    </row>
    <row r="539" spans="1:9" ht="39.6" x14ac:dyDescent="0.25">
      <c r="A539" s="345">
        <v>47</v>
      </c>
      <c r="B539" s="349" t="s">
        <v>800</v>
      </c>
      <c r="C539" s="286">
        <f t="shared" si="34"/>
        <v>21238</v>
      </c>
      <c r="D539" s="246"/>
      <c r="E539" s="246"/>
      <c r="F539" s="170">
        <f>31238-10000</f>
        <v>21238</v>
      </c>
      <c r="G539" s="246"/>
      <c r="H539" s="246"/>
      <c r="I539" s="346"/>
    </row>
    <row r="540" spans="1:9" ht="105.6" x14ac:dyDescent="0.25">
      <c r="A540" s="345">
        <v>48</v>
      </c>
      <c r="B540" s="349" t="s">
        <v>801</v>
      </c>
      <c r="C540" s="286">
        <f t="shared" si="34"/>
        <v>922.3</v>
      </c>
      <c r="D540" s="246">
        <v>50</v>
      </c>
      <c r="E540" s="246">
        <v>151.38999999999999</v>
      </c>
      <c r="F540" s="246"/>
      <c r="G540" s="246"/>
      <c r="H540" s="246"/>
      <c r="I540" s="346">
        <v>720.91</v>
      </c>
    </row>
    <row r="541" spans="1:9" ht="79.2" x14ac:dyDescent="0.25">
      <c r="A541" s="345">
        <v>49</v>
      </c>
      <c r="B541" s="349" t="s">
        <v>802</v>
      </c>
      <c r="C541" s="286">
        <f t="shared" si="34"/>
        <v>754.1</v>
      </c>
      <c r="D541" s="246">
        <v>754.1</v>
      </c>
      <c r="E541" s="246"/>
      <c r="F541" s="246"/>
      <c r="G541" s="246"/>
      <c r="H541" s="246"/>
      <c r="I541" s="346"/>
    </row>
    <row r="542" spans="1:9" ht="39.6" x14ac:dyDescent="0.25">
      <c r="A542" s="345">
        <v>50</v>
      </c>
      <c r="B542" s="243" t="s">
        <v>803</v>
      </c>
      <c r="C542" s="286">
        <f t="shared" si="34"/>
        <v>7047.9090000000006</v>
      </c>
      <c r="D542" s="246">
        <v>4454.2090000000007</v>
      </c>
      <c r="E542" s="246">
        <v>450.15</v>
      </c>
      <c r="F542" s="246"/>
      <c r="G542" s="246"/>
      <c r="H542" s="246"/>
      <c r="I542" s="346">
        <v>2143.5500000000002</v>
      </c>
    </row>
    <row r="543" spans="1:9" ht="158.4" x14ac:dyDescent="0.25">
      <c r="A543" s="345">
        <v>51</v>
      </c>
      <c r="B543" s="243" t="s">
        <v>804</v>
      </c>
      <c r="C543" s="286">
        <f t="shared" si="34"/>
        <v>28</v>
      </c>
      <c r="D543" s="246">
        <v>28</v>
      </c>
      <c r="E543" s="246"/>
      <c r="F543" s="246"/>
      <c r="G543" s="246"/>
      <c r="H543" s="246"/>
      <c r="I543" s="346"/>
    </row>
    <row r="544" spans="1:9" ht="92.4" x14ac:dyDescent="0.25">
      <c r="A544" s="345">
        <v>52</v>
      </c>
      <c r="B544" s="243" t="s">
        <v>805</v>
      </c>
      <c r="C544" s="286">
        <f t="shared" si="34"/>
        <v>14352.79</v>
      </c>
      <c r="D544" s="246">
        <v>2000</v>
      </c>
      <c r="E544" s="246">
        <v>1852.92</v>
      </c>
      <c r="F544" s="246"/>
      <c r="G544" s="246"/>
      <c r="H544" s="246"/>
      <c r="I544" s="346">
        <v>10499.87</v>
      </c>
    </row>
    <row r="545" spans="1:9" x14ac:dyDescent="0.25">
      <c r="A545" s="345">
        <v>53</v>
      </c>
      <c r="B545" s="349" t="s">
        <v>806</v>
      </c>
      <c r="C545" s="286">
        <f t="shared" si="34"/>
        <v>6710.3799999999992</v>
      </c>
      <c r="D545" s="246">
        <v>500</v>
      </c>
      <c r="E545" s="246">
        <v>931.56</v>
      </c>
      <c r="F545" s="246"/>
      <c r="G545" s="246"/>
      <c r="H545" s="246"/>
      <c r="I545" s="346">
        <v>5278.82</v>
      </c>
    </row>
    <row r="546" spans="1:9" ht="26.4" x14ac:dyDescent="0.25">
      <c r="A546" s="345">
        <v>54</v>
      </c>
      <c r="B546" s="349" t="s">
        <v>807</v>
      </c>
      <c r="C546" s="286">
        <f t="shared" si="34"/>
        <v>15155.5</v>
      </c>
      <c r="D546" s="246">
        <v>2350</v>
      </c>
      <c r="E546" s="246">
        <v>1698.69</v>
      </c>
      <c r="F546" s="246"/>
      <c r="G546" s="246"/>
      <c r="H546" s="246"/>
      <c r="I546" s="346">
        <v>11106.81</v>
      </c>
    </row>
    <row r="547" spans="1:9" ht="26.4" x14ac:dyDescent="0.25">
      <c r="A547" s="345">
        <v>55</v>
      </c>
      <c r="B547" s="349" t="s">
        <v>808</v>
      </c>
      <c r="C547" s="286">
        <f t="shared" si="34"/>
        <v>4953.93</v>
      </c>
      <c r="D547" s="246">
        <v>1600</v>
      </c>
      <c r="E547" s="246">
        <v>444.9</v>
      </c>
      <c r="F547" s="246"/>
      <c r="G547" s="246"/>
      <c r="H547" s="246"/>
      <c r="I547" s="346">
        <v>2909.03</v>
      </c>
    </row>
    <row r="548" spans="1:9" ht="26.4" x14ac:dyDescent="0.25">
      <c r="A548" s="345">
        <v>56</v>
      </c>
      <c r="B548" s="349" t="s">
        <v>809</v>
      </c>
      <c r="C548" s="286">
        <f t="shared" si="34"/>
        <v>7688.6</v>
      </c>
      <c r="D548" s="246">
        <v>2450</v>
      </c>
      <c r="E548" s="246">
        <v>602.66999999999996</v>
      </c>
      <c r="F548" s="246"/>
      <c r="G548" s="246"/>
      <c r="H548" s="246"/>
      <c r="I548" s="346">
        <v>4635.93</v>
      </c>
    </row>
    <row r="549" spans="1:9" ht="26.4" x14ac:dyDescent="0.25">
      <c r="A549" s="345">
        <v>57</v>
      </c>
      <c r="B549" s="349" t="s">
        <v>810</v>
      </c>
      <c r="C549" s="286">
        <f t="shared" si="34"/>
        <v>19</v>
      </c>
      <c r="D549" s="246">
        <v>19</v>
      </c>
      <c r="E549" s="246"/>
      <c r="F549" s="246"/>
      <c r="G549" s="246"/>
      <c r="H549" s="246"/>
      <c r="I549" s="346"/>
    </row>
    <row r="550" spans="1:9" ht="26.4" x14ac:dyDescent="0.25">
      <c r="A550" s="345">
        <v>58</v>
      </c>
      <c r="B550" s="349" t="s">
        <v>811</v>
      </c>
      <c r="C550" s="286">
        <f t="shared" si="34"/>
        <v>7</v>
      </c>
      <c r="D550" s="246">
        <v>7</v>
      </c>
      <c r="E550" s="246"/>
      <c r="F550" s="246"/>
      <c r="G550" s="246"/>
      <c r="H550" s="246"/>
      <c r="I550" s="346"/>
    </row>
    <row r="551" spans="1:9" ht="52.8" x14ac:dyDescent="0.25">
      <c r="A551" s="345">
        <v>59</v>
      </c>
      <c r="B551" s="350" t="s">
        <v>812</v>
      </c>
      <c r="C551" s="286">
        <f t="shared" si="34"/>
        <v>11264.528</v>
      </c>
      <c r="D551" s="246">
        <v>455.57799999999952</v>
      </c>
      <c r="E551" s="246">
        <v>1875.93</v>
      </c>
      <c r="F551" s="246"/>
      <c r="G551" s="246"/>
      <c r="H551" s="246"/>
      <c r="I551" s="346">
        <v>8933.02</v>
      </c>
    </row>
    <row r="552" spans="1:9" ht="26.4" x14ac:dyDescent="0.25">
      <c r="A552" s="345">
        <v>60</v>
      </c>
      <c r="B552" s="350" t="s">
        <v>813</v>
      </c>
      <c r="C552" s="286">
        <f t="shared" si="34"/>
        <v>5</v>
      </c>
      <c r="D552" s="246">
        <v>5</v>
      </c>
      <c r="E552" s="246"/>
      <c r="F552" s="246"/>
      <c r="G552" s="246"/>
      <c r="H552" s="246"/>
      <c r="I552" s="346"/>
    </row>
    <row r="553" spans="1:9" ht="79.2" x14ac:dyDescent="0.25">
      <c r="A553" s="345">
        <v>61</v>
      </c>
      <c r="B553" s="350" t="s">
        <v>814</v>
      </c>
      <c r="C553" s="286">
        <f t="shared" si="34"/>
        <v>60</v>
      </c>
      <c r="D553" s="246">
        <v>60</v>
      </c>
      <c r="E553" s="246"/>
      <c r="F553" s="246"/>
      <c r="G553" s="246"/>
      <c r="H553" s="246"/>
      <c r="I553" s="346"/>
    </row>
    <row r="554" spans="1:9" ht="118.8" x14ac:dyDescent="0.25">
      <c r="A554" s="345">
        <v>62</v>
      </c>
      <c r="B554" s="350" t="s">
        <v>815</v>
      </c>
      <c r="C554" s="286">
        <f t="shared" si="34"/>
        <v>20801.52</v>
      </c>
      <c r="D554" s="246"/>
      <c r="E554" s="246"/>
      <c r="F554" s="347">
        <f>15916.58+4884.94</f>
        <v>20801.52</v>
      </c>
      <c r="G554" s="246"/>
      <c r="H554" s="246"/>
      <c r="I554" s="346"/>
    </row>
    <row r="555" spans="1:9" ht="39.6" x14ac:dyDescent="0.25">
      <c r="A555" s="345">
        <v>63</v>
      </c>
      <c r="B555" s="351" t="s">
        <v>816</v>
      </c>
      <c r="C555" s="286">
        <f t="shared" si="34"/>
        <v>4154.1899999999996</v>
      </c>
      <c r="D555" s="246">
        <v>100</v>
      </c>
      <c r="E555" s="246">
        <v>621.82000000000005</v>
      </c>
      <c r="F555" s="246"/>
      <c r="G555" s="246"/>
      <c r="H555" s="246"/>
      <c r="I555" s="346">
        <v>3432.37</v>
      </c>
    </row>
    <row r="556" spans="1:9" ht="26.4" x14ac:dyDescent="0.25">
      <c r="A556" s="345">
        <v>64</v>
      </c>
      <c r="B556" s="351" t="s">
        <v>817</v>
      </c>
      <c r="C556" s="286">
        <f t="shared" si="34"/>
        <v>6346.66</v>
      </c>
      <c r="D556" s="246"/>
      <c r="E556" s="246">
        <v>287.42</v>
      </c>
      <c r="F556" s="170">
        <v>4430.53</v>
      </c>
      <c r="G556" s="246"/>
      <c r="H556" s="246"/>
      <c r="I556" s="346">
        <v>1628.71</v>
      </c>
    </row>
    <row r="557" spans="1:9" ht="26.4" x14ac:dyDescent="0.25">
      <c r="A557" s="345">
        <v>65</v>
      </c>
      <c r="B557" s="351" t="s">
        <v>818</v>
      </c>
      <c r="C557" s="286">
        <f t="shared" si="34"/>
        <v>2819.64</v>
      </c>
      <c r="D557" s="246">
        <v>100</v>
      </c>
      <c r="E557" s="246">
        <v>407.95</v>
      </c>
      <c r="F557" s="170"/>
      <c r="G557" s="246"/>
      <c r="H557" s="246"/>
      <c r="I557" s="346">
        <v>2311.69</v>
      </c>
    </row>
    <row r="558" spans="1:9" ht="26.4" x14ac:dyDescent="0.25">
      <c r="A558" s="345">
        <v>66</v>
      </c>
      <c r="B558" s="351" t="s">
        <v>819</v>
      </c>
      <c r="C558" s="286">
        <f t="shared" si="34"/>
        <v>120</v>
      </c>
      <c r="D558" s="246">
        <v>120</v>
      </c>
      <c r="E558" s="246"/>
      <c r="F558" s="246"/>
      <c r="G558" s="246"/>
      <c r="H558" s="246"/>
      <c r="I558" s="346"/>
    </row>
    <row r="559" spans="1:9" ht="26.4" x14ac:dyDescent="0.25">
      <c r="A559" s="345">
        <v>67</v>
      </c>
      <c r="B559" s="351" t="s">
        <v>820</v>
      </c>
      <c r="C559" s="286">
        <f t="shared" si="34"/>
        <v>884</v>
      </c>
      <c r="D559" s="246">
        <v>884</v>
      </c>
      <c r="E559" s="246"/>
      <c r="F559" s="246"/>
      <c r="G559" s="246"/>
      <c r="H559" s="246"/>
      <c r="I559" s="346"/>
    </row>
    <row r="560" spans="1:9" ht="39.6" x14ac:dyDescent="0.25">
      <c r="A560" s="345">
        <v>68</v>
      </c>
      <c r="B560" s="351" t="s">
        <v>821</v>
      </c>
      <c r="C560" s="286">
        <f t="shared" si="34"/>
        <v>42</v>
      </c>
      <c r="D560" s="246">
        <v>42</v>
      </c>
      <c r="E560" s="246"/>
      <c r="F560" s="246"/>
      <c r="G560" s="246"/>
      <c r="H560" s="246"/>
      <c r="I560" s="346"/>
    </row>
    <row r="561" spans="1:9" ht="26.4" x14ac:dyDescent="0.25">
      <c r="A561" s="345">
        <v>69</v>
      </c>
      <c r="B561" s="351" t="s">
        <v>822</v>
      </c>
      <c r="C561" s="286">
        <f t="shared" ref="C561:C598" si="35">SUM(D561:I561)</f>
        <v>90</v>
      </c>
      <c r="D561" s="246">
        <v>90</v>
      </c>
      <c r="E561" s="246"/>
      <c r="F561" s="246"/>
      <c r="G561" s="246"/>
      <c r="H561" s="246"/>
      <c r="I561" s="346"/>
    </row>
    <row r="562" spans="1:9" ht="26.4" x14ac:dyDescent="0.25">
      <c r="A562" s="345">
        <v>70</v>
      </c>
      <c r="B562" s="351" t="s">
        <v>823</v>
      </c>
      <c r="C562" s="286">
        <f t="shared" si="35"/>
        <v>150</v>
      </c>
      <c r="D562" s="246">
        <v>150</v>
      </c>
      <c r="E562" s="246"/>
      <c r="F562" s="246"/>
      <c r="G562" s="246"/>
      <c r="H562" s="246"/>
      <c r="I562" s="346"/>
    </row>
    <row r="563" spans="1:9" ht="39.6" x14ac:dyDescent="0.25">
      <c r="A563" s="345">
        <v>71</v>
      </c>
      <c r="B563" s="351" t="s">
        <v>824</v>
      </c>
      <c r="C563" s="286">
        <f t="shared" si="35"/>
        <v>53586.54</v>
      </c>
      <c r="D563" s="246">
        <v>300</v>
      </c>
      <c r="E563" s="246">
        <v>53286.54</v>
      </c>
      <c r="F563" s="246"/>
      <c r="G563" s="246"/>
      <c r="H563" s="246"/>
      <c r="I563" s="346"/>
    </row>
    <row r="564" spans="1:9" ht="39.6" x14ac:dyDescent="0.25">
      <c r="A564" s="345">
        <v>72</v>
      </c>
      <c r="B564" s="351" t="s">
        <v>825</v>
      </c>
      <c r="C564" s="286">
        <f t="shared" si="35"/>
        <v>300</v>
      </c>
      <c r="D564" s="246">
        <v>300</v>
      </c>
      <c r="E564" s="246"/>
      <c r="F564" s="246"/>
      <c r="G564" s="246"/>
      <c r="H564" s="246"/>
      <c r="I564" s="346"/>
    </row>
    <row r="565" spans="1:9" ht="26.4" x14ac:dyDescent="0.25">
      <c r="A565" s="345">
        <v>73</v>
      </c>
      <c r="B565" s="351" t="s">
        <v>826</v>
      </c>
      <c r="C565" s="286">
        <f t="shared" si="35"/>
        <v>790.8</v>
      </c>
      <c r="D565" s="246">
        <v>790.8</v>
      </c>
      <c r="E565" s="246"/>
      <c r="F565" s="246"/>
      <c r="G565" s="246"/>
      <c r="H565" s="246"/>
      <c r="I565" s="346"/>
    </row>
    <row r="566" spans="1:9" ht="26.4" x14ac:dyDescent="0.25">
      <c r="A566" s="345">
        <v>74</v>
      </c>
      <c r="B566" s="351" t="s">
        <v>827</v>
      </c>
      <c r="C566" s="286">
        <f t="shared" si="35"/>
        <v>200</v>
      </c>
      <c r="D566" s="246">
        <v>200</v>
      </c>
      <c r="E566" s="246"/>
      <c r="F566" s="246"/>
      <c r="G566" s="246"/>
      <c r="H566" s="246"/>
      <c r="I566" s="346"/>
    </row>
    <row r="567" spans="1:9" ht="52.8" x14ac:dyDescent="0.25">
      <c r="A567" s="345">
        <v>75</v>
      </c>
      <c r="B567" s="349" t="s">
        <v>828</v>
      </c>
      <c r="C567" s="286">
        <f t="shared" si="35"/>
        <v>43906.8</v>
      </c>
      <c r="D567" s="246">
        <v>2000</v>
      </c>
      <c r="E567" s="246">
        <v>7273.08</v>
      </c>
      <c r="F567" s="246"/>
      <c r="G567" s="246"/>
      <c r="H567" s="246"/>
      <c r="I567" s="346">
        <v>34633.72</v>
      </c>
    </row>
    <row r="568" spans="1:9" ht="52.8" x14ac:dyDescent="0.25">
      <c r="A568" s="345">
        <v>76</v>
      </c>
      <c r="B568" s="349" t="s">
        <v>829</v>
      </c>
      <c r="C568" s="286">
        <f t="shared" si="35"/>
        <v>4480.6881300000005</v>
      </c>
      <c r="D568" s="246">
        <v>1792.2752519999999</v>
      </c>
      <c r="E568" s="246"/>
      <c r="F568" s="246"/>
      <c r="G568" s="246"/>
      <c r="H568" s="246"/>
      <c r="I568" s="346">
        <f>527139.78*5.1/1000</f>
        <v>2688.4128780000001</v>
      </c>
    </row>
    <row r="569" spans="1:9" ht="26.4" x14ac:dyDescent="0.25">
      <c r="A569" s="345">
        <v>77</v>
      </c>
      <c r="B569" s="349" t="s">
        <v>830</v>
      </c>
      <c r="C569" s="286">
        <f t="shared" si="35"/>
        <v>10795.33</v>
      </c>
      <c r="D569" s="246">
        <v>2342.5100000000002</v>
      </c>
      <c r="E569" s="246">
        <v>1467.02</v>
      </c>
      <c r="F569" s="246"/>
      <c r="G569" s="246"/>
      <c r="H569" s="246"/>
      <c r="I569" s="346">
        <v>6985.8</v>
      </c>
    </row>
    <row r="570" spans="1:9" ht="66" x14ac:dyDescent="0.25">
      <c r="A570" s="345">
        <v>78</v>
      </c>
      <c r="B570" s="349" t="s">
        <v>831</v>
      </c>
      <c r="C570" s="286">
        <f t="shared" si="35"/>
        <v>301</v>
      </c>
      <c r="D570" s="246">
        <v>301</v>
      </c>
      <c r="E570" s="246"/>
      <c r="F570" s="246"/>
      <c r="G570" s="246"/>
      <c r="H570" s="246"/>
      <c r="I570" s="346"/>
    </row>
    <row r="571" spans="1:9" ht="118.8" x14ac:dyDescent="0.25">
      <c r="A571" s="345">
        <v>79</v>
      </c>
      <c r="B571" s="349" t="s">
        <v>832</v>
      </c>
      <c r="C571" s="286">
        <f t="shared" si="35"/>
        <v>200</v>
      </c>
      <c r="D571" s="246">
        <v>200</v>
      </c>
      <c r="E571" s="246"/>
      <c r="F571" s="246"/>
      <c r="G571" s="246"/>
      <c r="H571" s="246"/>
      <c r="I571" s="346"/>
    </row>
    <row r="572" spans="1:9" ht="66" x14ac:dyDescent="0.25">
      <c r="A572" s="345">
        <v>80</v>
      </c>
      <c r="B572" s="243" t="s">
        <v>833</v>
      </c>
      <c r="C572" s="286">
        <f t="shared" si="35"/>
        <v>62</v>
      </c>
      <c r="D572" s="246">
        <v>62</v>
      </c>
      <c r="E572" s="246"/>
      <c r="F572" s="246"/>
      <c r="G572" s="246"/>
      <c r="H572" s="246"/>
      <c r="I572" s="346"/>
    </row>
    <row r="573" spans="1:9" ht="66" x14ac:dyDescent="0.25">
      <c r="A573" s="345">
        <v>81</v>
      </c>
      <c r="B573" s="243" t="s">
        <v>834</v>
      </c>
      <c r="C573" s="286">
        <f t="shared" si="35"/>
        <v>29</v>
      </c>
      <c r="D573" s="246"/>
      <c r="E573" s="246"/>
      <c r="F573" s="246"/>
      <c r="G573" s="246"/>
      <c r="H573" s="246">
        <v>29</v>
      </c>
      <c r="I573" s="346"/>
    </row>
    <row r="574" spans="1:9" ht="66" x14ac:dyDescent="0.25">
      <c r="A574" s="345">
        <v>82</v>
      </c>
      <c r="B574" s="243" t="s">
        <v>835</v>
      </c>
      <c r="C574" s="286">
        <f t="shared" si="35"/>
        <v>24</v>
      </c>
      <c r="D574" s="246"/>
      <c r="E574" s="246"/>
      <c r="F574" s="246"/>
      <c r="G574" s="246"/>
      <c r="H574" s="246">
        <v>24</v>
      </c>
      <c r="I574" s="346"/>
    </row>
    <row r="575" spans="1:9" ht="66" x14ac:dyDescent="0.25">
      <c r="A575" s="345">
        <v>83</v>
      </c>
      <c r="B575" s="243" t="s">
        <v>836</v>
      </c>
      <c r="C575" s="286">
        <f t="shared" si="35"/>
        <v>55574.659999999996</v>
      </c>
      <c r="D575" s="246"/>
      <c r="E575" s="246">
        <v>26137.279999999999</v>
      </c>
      <c r="F575" s="246"/>
      <c r="G575" s="246"/>
      <c r="H575" s="246">
        <v>5178.12</v>
      </c>
      <c r="I575" s="346">
        <v>24259.26</v>
      </c>
    </row>
    <row r="576" spans="1:9" ht="52.8" x14ac:dyDescent="0.25">
      <c r="A576" s="345">
        <v>84</v>
      </c>
      <c r="B576" s="243" t="s">
        <v>837</v>
      </c>
      <c r="C576" s="286">
        <f t="shared" si="35"/>
        <v>3184</v>
      </c>
      <c r="D576" s="246"/>
      <c r="E576" s="246">
        <v>715</v>
      </c>
      <c r="F576" s="246"/>
      <c r="G576" s="246"/>
      <c r="H576" s="246">
        <v>2469</v>
      </c>
      <c r="I576" s="346"/>
    </row>
    <row r="577" spans="1:9" ht="26.4" x14ac:dyDescent="0.25">
      <c r="A577" s="345">
        <v>85</v>
      </c>
      <c r="B577" s="243" t="s">
        <v>838</v>
      </c>
      <c r="C577" s="286">
        <f t="shared" si="35"/>
        <v>15</v>
      </c>
      <c r="D577" s="246">
        <v>15</v>
      </c>
      <c r="E577" s="246"/>
      <c r="F577" s="246"/>
      <c r="G577" s="246"/>
      <c r="H577" s="246"/>
      <c r="I577" s="346"/>
    </row>
    <row r="578" spans="1:9" ht="66" x14ac:dyDescent="0.25">
      <c r="A578" s="345">
        <v>86</v>
      </c>
      <c r="B578" s="349" t="s">
        <v>839</v>
      </c>
      <c r="C578" s="286">
        <f t="shared" si="35"/>
        <v>61610.61</v>
      </c>
      <c r="D578" s="246"/>
      <c r="E578" s="246">
        <v>43329.13</v>
      </c>
      <c r="F578" s="246"/>
      <c r="G578" s="246"/>
      <c r="H578" s="246">
        <v>18281.48</v>
      </c>
      <c r="I578" s="346"/>
    </row>
    <row r="579" spans="1:9" ht="26.4" x14ac:dyDescent="0.25">
      <c r="A579" s="345">
        <v>87</v>
      </c>
      <c r="B579" s="243" t="s">
        <v>840</v>
      </c>
      <c r="C579" s="286">
        <f t="shared" si="35"/>
        <v>260</v>
      </c>
      <c r="D579" s="246">
        <v>260</v>
      </c>
      <c r="E579" s="246"/>
      <c r="F579" s="246"/>
      <c r="G579" s="246"/>
      <c r="H579" s="246"/>
      <c r="I579" s="346"/>
    </row>
    <row r="580" spans="1:9" ht="26.4" x14ac:dyDescent="0.25">
      <c r="A580" s="345">
        <v>88</v>
      </c>
      <c r="B580" s="349" t="s">
        <v>841</v>
      </c>
      <c r="C580" s="286">
        <f t="shared" si="35"/>
        <v>21175.01</v>
      </c>
      <c r="D580" s="246">
        <v>827.64</v>
      </c>
      <c r="E580" s="246">
        <v>2847.37</v>
      </c>
      <c r="F580" s="246"/>
      <c r="G580" s="246"/>
      <c r="H580" s="246"/>
      <c r="I580" s="346">
        <v>17500</v>
      </c>
    </row>
    <row r="581" spans="1:9" ht="39.6" x14ac:dyDescent="0.25">
      <c r="A581" s="345">
        <v>89</v>
      </c>
      <c r="B581" s="349" t="s">
        <v>842</v>
      </c>
      <c r="C581" s="286">
        <f t="shared" si="35"/>
        <v>7278.8600000000006</v>
      </c>
      <c r="D581" s="246">
        <v>1233.1400000000001</v>
      </c>
      <c r="E581" s="246">
        <v>1049.26</v>
      </c>
      <c r="F581" s="246"/>
      <c r="G581" s="246"/>
      <c r="H581" s="246"/>
      <c r="I581" s="346">
        <v>4996.46</v>
      </c>
    </row>
    <row r="582" spans="1:9" ht="39.6" x14ac:dyDescent="0.25">
      <c r="A582" s="345">
        <v>90</v>
      </c>
      <c r="B582" s="349" t="s">
        <v>843</v>
      </c>
      <c r="C582" s="286">
        <f t="shared" si="35"/>
        <v>6280.74</v>
      </c>
      <c r="D582" s="246">
        <v>47.48</v>
      </c>
      <c r="E582" s="246">
        <v>1081.81</v>
      </c>
      <c r="F582" s="246"/>
      <c r="G582" s="246"/>
      <c r="H582" s="246"/>
      <c r="I582" s="346">
        <v>5151.45</v>
      </c>
    </row>
    <row r="583" spans="1:9" ht="26.4" x14ac:dyDescent="0.25">
      <c r="A583" s="345">
        <v>91</v>
      </c>
      <c r="B583" s="243" t="s">
        <v>844</v>
      </c>
      <c r="C583" s="286">
        <f t="shared" si="35"/>
        <v>100</v>
      </c>
      <c r="D583" s="246">
        <v>100</v>
      </c>
      <c r="E583" s="246"/>
      <c r="F583" s="246"/>
      <c r="G583" s="246"/>
      <c r="H583" s="246"/>
      <c r="I583" s="346"/>
    </row>
    <row r="584" spans="1:9" ht="66" x14ac:dyDescent="0.25">
      <c r="A584" s="345">
        <v>92</v>
      </c>
      <c r="B584" s="243" t="s">
        <v>845</v>
      </c>
      <c r="C584" s="286">
        <f t="shared" si="35"/>
        <v>100</v>
      </c>
      <c r="D584" s="246">
        <v>100</v>
      </c>
      <c r="E584" s="246"/>
      <c r="F584" s="246"/>
      <c r="G584" s="246"/>
      <c r="H584" s="246"/>
      <c r="I584" s="346"/>
    </row>
    <row r="585" spans="1:9" ht="52.8" x14ac:dyDescent="0.25">
      <c r="A585" s="345">
        <v>93</v>
      </c>
      <c r="B585" s="243" t="s">
        <v>846</v>
      </c>
      <c r="C585" s="286">
        <f t="shared" si="35"/>
        <v>58</v>
      </c>
      <c r="D585" s="246">
        <v>58</v>
      </c>
      <c r="E585" s="246"/>
      <c r="F585" s="246"/>
      <c r="G585" s="246"/>
      <c r="H585" s="246"/>
      <c r="I585" s="346"/>
    </row>
    <row r="586" spans="1:9" ht="39.6" x14ac:dyDescent="0.25">
      <c r="A586" s="345">
        <v>94</v>
      </c>
      <c r="B586" s="243" t="s">
        <v>847</v>
      </c>
      <c r="C586" s="286">
        <f t="shared" si="35"/>
        <v>15905</v>
      </c>
      <c r="D586" s="246"/>
      <c r="E586" s="246"/>
      <c r="F586" s="246">
        <v>15905</v>
      </c>
      <c r="G586" s="246"/>
      <c r="H586" s="246"/>
      <c r="I586" s="346"/>
    </row>
    <row r="587" spans="1:9" ht="39.6" x14ac:dyDescent="0.25">
      <c r="A587" s="345">
        <v>95</v>
      </c>
      <c r="B587" s="349" t="s">
        <v>848</v>
      </c>
      <c r="C587" s="286">
        <f t="shared" si="35"/>
        <v>39324.9</v>
      </c>
      <c r="D587" s="246">
        <v>500</v>
      </c>
      <c r="E587" s="246">
        <v>3702.82</v>
      </c>
      <c r="F587" s="170">
        <f>20911.36-10000</f>
        <v>10911.36</v>
      </c>
      <c r="G587" s="246"/>
      <c r="H587" s="246"/>
      <c r="I587" s="346">
        <v>24210.720000000001</v>
      </c>
    </row>
    <row r="588" spans="1:9" ht="39.6" x14ac:dyDescent="0.25">
      <c r="A588" s="345">
        <v>96</v>
      </c>
      <c r="B588" s="349" t="s">
        <v>849</v>
      </c>
      <c r="C588" s="286">
        <f t="shared" si="35"/>
        <v>45657.45</v>
      </c>
      <c r="D588" s="246">
        <v>500</v>
      </c>
      <c r="E588" s="246">
        <v>4083.87</v>
      </c>
      <c r="F588" s="170">
        <f>24371.37-10000</f>
        <v>14371.369999999999</v>
      </c>
      <c r="G588" s="246"/>
      <c r="H588" s="246"/>
      <c r="I588" s="346">
        <v>26702.21</v>
      </c>
    </row>
    <row r="589" spans="1:9" ht="26.4" x14ac:dyDescent="0.25">
      <c r="A589" s="345">
        <v>97</v>
      </c>
      <c r="B589" s="349" t="s">
        <v>850</v>
      </c>
      <c r="C589" s="286">
        <f t="shared" si="35"/>
        <v>18500</v>
      </c>
      <c r="D589" s="246">
        <v>3176.3999999999996</v>
      </c>
      <c r="E589" s="246">
        <v>325</v>
      </c>
      <c r="F589" s="246">
        <f>2080.6+10793</f>
        <v>12873.6</v>
      </c>
      <c r="G589" s="246"/>
      <c r="H589" s="246"/>
      <c r="I589" s="346">
        <v>2125</v>
      </c>
    </row>
    <row r="590" spans="1:9" ht="26.4" x14ac:dyDescent="0.25">
      <c r="A590" s="345">
        <v>98</v>
      </c>
      <c r="B590" s="350" t="s">
        <v>851</v>
      </c>
      <c r="C590" s="286">
        <f t="shared" si="35"/>
        <v>33</v>
      </c>
      <c r="D590" s="246">
        <v>33</v>
      </c>
      <c r="E590" s="246"/>
      <c r="F590" s="246"/>
      <c r="G590" s="246"/>
      <c r="H590" s="246"/>
      <c r="I590" s="346"/>
    </row>
    <row r="591" spans="1:9" ht="39.6" x14ac:dyDescent="0.25">
      <c r="A591" s="345">
        <v>99</v>
      </c>
      <c r="B591" s="322" t="s">
        <v>852</v>
      </c>
      <c r="C591" s="286">
        <f t="shared" si="35"/>
        <v>7200.89</v>
      </c>
      <c r="D591" s="246">
        <v>7200.89</v>
      </c>
      <c r="E591" s="246"/>
      <c r="F591" s="352"/>
      <c r="G591" s="246"/>
      <c r="H591" s="246"/>
      <c r="I591" s="346"/>
    </row>
    <row r="592" spans="1:9" ht="39.6" x14ac:dyDescent="0.25">
      <c r="A592" s="345">
        <v>100</v>
      </c>
      <c r="B592" s="322" t="s">
        <v>853</v>
      </c>
      <c r="C592" s="286">
        <f t="shared" si="35"/>
        <v>16843.61</v>
      </c>
      <c r="D592" s="246">
        <v>5093.6100000000006</v>
      </c>
      <c r="E592" s="246"/>
      <c r="F592" s="347">
        <v>11750</v>
      </c>
      <c r="G592" s="246"/>
      <c r="H592" s="246"/>
      <c r="I592" s="346"/>
    </row>
    <row r="593" spans="1:9" ht="26.4" x14ac:dyDescent="0.25">
      <c r="A593" s="345">
        <v>101</v>
      </c>
      <c r="B593" s="349" t="s">
        <v>854</v>
      </c>
      <c r="C593" s="286">
        <f t="shared" si="35"/>
        <v>600</v>
      </c>
      <c r="D593" s="246">
        <v>600</v>
      </c>
      <c r="E593" s="246"/>
      <c r="F593" s="246"/>
      <c r="G593" s="246"/>
      <c r="H593" s="246"/>
      <c r="I593" s="346"/>
    </row>
    <row r="594" spans="1:9" ht="39.6" x14ac:dyDescent="0.25">
      <c r="A594" s="345">
        <v>102</v>
      </c>
      <c r="B594" s="349" t="s">
        <v>855</v>
      </c>
      <c r="C594" s="286">
        <f t="shared" si="35"/>
        <v>100</v>
      </c>
      <c r="D594" s="246">
        <v>100</v>
      </c>
      <c r="E594" s="246"/>
      <c r="F594" s="246"/>
      <c r="G594" s="246"/>
      <c r="H594" s="246"/>
      <c r="I594" s="346"/>
    </row>
    <row r="595" spans="1:9" x14ac:dyDescent="0.25">
      <c r="A595" s="345">
        <v>103</v>
      </c>
      <c r="B595" s="322" t="s">
        <v>856</v>
      </c>
      <c r="C595" s="286">
        <f t="shared" si="35"/>
        <v>350</v>
      </c>
      <c r="D595" s="246">
        <v>350</v>
      </c>
      <c r="E595" s="246"/>
      <c r="F595" s="246"/>
      <c r="G595" s="246"/>
      <c r="H595" s="246"/>
      <c r="I595" s="346"/>
    </row>
    <row r="596" spans="1:9" ht="26.4" x14ac:dyDescent="0.25">
      <c r="A596" s="345">
        <v>104</v>
      </c>
      <c r="B596" s="353" t="s">
        <v>857</v>
      </c>
      <c r="C596" s="286">
        <f t="shared" si="35"/>
        <v>350</v>
      </c>
      <c r="D596" s="246">
        <v>350</v>
      </c>
      <c r="E596" s="246"/>
      <c r="F596" s="246"/>
      <c r="G596" s="246"/>
      <c r="H596" s="246"/>
      <c r="I596" s="346"/>
    </row>
    <row r="597" spans="1:9" ht="26.4" x14ac:dyDescent="0.25">
      <c r="A597" s="345">
        <v>105</v>
      </c>
      <c r="B597" s="349" t="s">
        <v>858</v>
      </c>
      <c r="C597" s="286">
        <f t="shared" si="35"/>
        <v>100</v>
      </c>
      <c r="D597" s="246">
        <v>100</v>
      </c>
      <c r="E597" s="246"/>
      <c r="F597" s="246"/>
      <c r="G597" s="246"/>
      <c r="H597" s="246"/>
      <c r="I597" s="346"/>
    </row>
    <row r="598" spans="1:9" ht="27" thickBot="1" x14ac:dyDescent="0.3">
      <c r="A598" s="354">
        <v>106</v>
      </c>
      <c r="B598" s="355" t="s">
        <v>704</v>
      </c>
      <c r="C598" s="301">
        <f t="shared" si="35"/>
        <v>135</v>
      </c>
      <c r="D598" s="255">
        <v>135</v>
      </c>
      <c r="E598" s="255"/>
      <c r="F598" s="255"/>
      <c r="G598" s="255"/>
      <c r="H598" s="255"/>
      <c r="I598" s="356"/>
    </row>
    <row r="599" spans="1:9" ht="13.8" thickBot="1" x14ac:dyDescent="0.3">
      <c r="A599" s="231" t="s">
        <v>297</v>
      </c>
      <c r="B599" s="357" t="s">
        <v>298</v>
      </c>
      <c r="C599" s="358">
        <f>+C600</f>
        <v>122675.13</v>
      </c>
      <c r="D599" s="358">
        <f t="shared" ref="D599:I599" si="36">+D600</f>
        <v>0</v>
      </c>
      <c r="E599" s="358">
        <f t="shared" si="36"/>
        <v>33420.58</v>
      </c>
      <c r="F599" s="358">
        <f t="shared" si="36"/>
        <v>0</v>
      </c>
      <c r="G599" s="358">
        <f t="shared" si="36"/>
        <v>48583.26</v>
      </c>
      <c r="H599" s="358">
        <f t="shared" si="36"/>
        <v>0</v>
      </c>
      <c r="I599" s="358">
        <f t="shared" si="36"/>
        <v>40671.29</v>
      </c>
    </row>
    <row r="600" spans="1:9" x14ac:dyDescent="0.25">
      <c r="A600" s="359"/>
      <c r="B600" s="360" t="s">
        <v>859</v>
      </c>
      <c r="C600" s="150">
        <f>SUM(E600:I600)</f>
        <v>122675.13</v>
      </c>
      <c r="D600" s="150">
        <f t="shared" ref="D600:I600" si="37">D601+D637+D644</f>
        <v>0</v>
      </c>
      <c r="E600" s="150">
        <f t="shared" si="37"/>
        <v>33420.58</v>
      </c>
      <c r="F600" s="150">
        <f t="shared" si="37"/>
        <v>0</v>
      </c>
      <c r="G600" s="150">
        <f t="shared" si="37"/>
        <v>48583.26</v>
      </c>
      <c r="H600" s="150">
        <f t="shared" si="37"/>
        <v>0</v>
      </c>
      <c r="I600" s="150">
        <f t="shared" si="37"/>
        <v>40671.29</v>
      </c>
    </row>
    <row r="601" spans="1:9" x14ac:dyDescent="0.25">
      <c r="A601" s="359"/>
      <c r="B601" s="361" t="s">
        <v>860</v>
      </c>
      <c r="C601" s="362">
        <f t="shared" ref="C601:I601" si="38">SUM(C602:C636)</f>
        <v>12252.66</v>
      </c>
      <c r="D601" s="362">
        <f t="shared" si="38"/>
        <v>0</v>
      </c>
      <c r="E601" s="362">
        <f t="shared" si="38"/>
        <v>0</v>
      </c>
      <c r="F601" s="362">
        <f t="shared" si="38"/>
        <v>0</v>
      </c>
      <c r="G601" s="362">
        <f t="shared" si="38"/>
        <v>12252.66</v>
      </c>
      <c r="H601" s="362">
        <f t="shared" si="38"/>
        <v>0</v>
      </c>
      <c r="I601" s="362">
        <f t="shared" si="38"/>
        <v>0</v>
      </c>
    </row>
    <row r="602" spans="1:9" x14ac:dyDescent="0.25">
      <c r="A602" s="148">
        <v>1</v>
      </c>
      <c r="B602" s="119" t="s">
        <v>861</v>
      </c>
      <c r="C602" s="362">
        <f t="shared" ref="C602:C636" si="39">SUM(D602:I602)</f>
        <v>15.37</v>
      </c>
      <c r="D602" s="156"/>
      <c r="E602" s="156"/>
      <c r="F602" s="156"/>
      <c r="G602" s="363">
        <v>15.37</v>
      </c>
      <c r="H602" s="156"/>
      <c r="I602" s="362"/>
    </row>
    <row r="603" spans="1:9" ht="26.4" x14ac:dyDescent="0.25">
      <c r="A603" s="148">
        <v>2</v>
      </c>
      <c r="B603" s="119" t="s">
        <v>862</v>
      </c>
      <c r="C603" s="362">
        <f t="shared" si="39"/>
        <v>636.46</v>
      </c>
      <c r="D603" s="156"/>
      <c r="E603" s="156"/>
      <c r="F603" s="156"/>
      <c r="G603" s="363">
        <v>636.46</v>
      </c>
      <c r="H603" s="156"/>
      <c r="I603" s="362"/>
    </row>
    <row r="604" spans="1:9" ht="26.4" x14ac:dyDescent="0.25">
      <c r="A604" s="148">
        <v>3</v>
      </c>
      <c r="B604" s="119" t="s">
        <v>863</v>
      </c>
      <c r="C604" s="362">
        <f t="shared" si="39"/>
        <v>249.26</v>
      </c>
      <c r="D604" s="156"/>
      <c r="E604" s="156"/>
      <c r="F604" s="156"/>
      <c r="G604" s="363">
        <v>249.26</v>
      </c>
      <c r="H604" s="156"/>
      <c r="I604" s="362"/>
    </row>
    <row r="605" spans="1:9" ht="26.4" x14ac:dyDescent="0.25">
      <c r="A605" s="148">
        <v>4</v>
      </c>
      <c r="B605" s="119" t="s">
        <v>864</v>
      </c>
      <c r="C605" s="362">
        <f t="shared" si="39"/>
        <v>23.41</v>
      </c>
      <c r="D605" s="156"/>
      <c r="E605" s="156"/>
      <c r="F605" s="156"/>
      <c r="G605" s="363">
        <v>23.41</v>
      </c>
      <c r="H605" s="156"/>
      <c r="I605" s="362"/>
    </row>
    <row r="606" spans="1:9" ht="26.4" x14ac:dyDescent="0.25">
      <c r="A606" s="148">
        <v>5</v>
      </c>
      <c r="B606" s="119" t="s">
        <v>865</v>
      </c>
      <c r="C606" s="362">
        <f t="shared" si="39"/>
        <v>1391.03</v>
      </c>
      <c r="D606" s="156"/>
      <c r="E606" s="156"/>
      <c r="F606" s="156"/>
      <c r="G606" s="363">
        <v>1391.03</v>
      </c>
      <c r="H606" s="156"/>
      <c r="I606" s="362"/>
    </row>
    <row r="607" spans="1:9" x14ac:dyDescent="0.25">
      <c r="A607" s="148">
        <v>6</v>
      </c>
      <c r="B607" s="119" t="s">
        <v>866</v>
      </c>
      <c r="C607" s="362">
        <f t="shared" si="39"/>
        <v>338.14</v>
      </c>
      <c r="D607" s="156"/>
      <c r="E607" s="156"/>
      <c r="F607" s="156"/>
      <c r="G607" s="363">
        <v>338.14</v>
      </c>
      <c r="H607" s="156"/>
      <c r="I607" s="362"/>
    </row>
    <row r="608" spans="1:9" x14ac:dyDescent="0.25">
      <c r="A608" s="148">
        <v>7</v>
      </c>
      <c r="B608" s="119" t="s">
        <v>867</v>
      </c>
      <c r="C608" s="362">
        <f t="shared" si="39"/>
        <v>451.67</v>
      </c>
      <c r="D608" s="156"/>
      <c r="E608" s="156"/>
      <c r="F608" s="156"/>
      <c r="G608" s="363">
        <v>451.67</v>
      </c>
      <c r="H608" s="156"/>
      <c r="I608" s="362"/>
    </row>
    <row r="609" spans="1:9" x14ac:dyDescent="0.25">
      <c r="A609" s="148">
        <v>8</v>
      </c>
      <c r="B609" s="119" t="s">
        <v>868</v>
      </c>
      <c r="C609" s="362">
        <f t="shared" si="39"/>
        <v>626.95000000000005</v>
      </c>
      <c r="D609" s="156"/>
      <c r="E609" s="156"/>
      <c r="F609" s="156"/>
      <c r="G609" s="363">
        <v>626.95000000000005</v>
      </c>
      <c r="H609" s="156"/>
      <c r="I609" s="362"/>
    </row>
    <row r="610" spans="1:9" ht="26.4" x14ac:dyDescent="0.25">
      <c r="A610" s="148">
        <v>9</v>
      </c>
      <c r="B610" s="119" t="s">
        <v>869</v>
      </c>
      <c r="C610" s="362">
        <f t="shared" si="39"/>
        <v>186.35</v>
      </c>
      <c r="D610" s="156"/>
      <c r="E610" s="156"/>
      <c r="F610" s="156"/>
      <c r="G610" s="363">
        <v>186.35</v>
      </c>
      <c r="H610" s="156"/>
      <c r="I610" s="362"/>
    </row>
    <row r="611" spans="1:9" x14ac:dyDescent="0.25">
      <c r="A611" s="148">
        <v>10</v>
      </c>
      <c r="B611" s="119" t="s">
        <v>870</v>
      </c>
      <c r="C611" s="362">
        <f t="shared" si="39"/>
        <v>138.97</v>
      </c>
      <c r="D611" s="156"/>
      <c r="E611" s="156"/>
      <c r="F611" s="156"/>
      <c r="G611" s="363">
        <v>138.97</v>
      </c>
      <c r="H611" s="156"/>
      <c r="I611" s="362"/>
    </row>
    <row r="612" spans="1:9" ht="26.4" x14ac:dyDescent="0.25">
      <c r="A612" s="148">
        <v>11</v>
      </c>
      <c r="B612" s="119" t="s">
        <v>871</v>
      </c>
      <c r="C612" s="362">
        <f t="shared" si="39"/>
        <v>9.68</v>
      </c>
      <c r="D612" s="156"/>
      <c r="E612" s="156"/>
      <c r="F612" s="156"/>
      <c r="G612" s="363">
        <v>9.68</v>
      </c>
      <c r="H612" s="156"/>
      <c r="I612" s="362"/>
    </row>
    <row r="613" spans="1:9" ht="26.4" x14ac:dyDescent="0.25">
      <c r="A613" s="148">
        <v>12</v>
      </c>
      <c r="B613" s="119" t="s">
        <v>872</v>
      </c>
      <c r="C613" s="362">
        <f t="shared" si="39"/>
        <v>42.35</v>
      </c>
      <c r="D613" s="156"/>
      <c r="E613" s="156"/>
      <c r="F613" s="156"/>
      <c r="G613" s="363">
        <v>42.35</v>
      </c>
      <c r="H613" s="156"/>
      <c r="I613" s="362"/>
    </row>
    <row r="614" spans="1:9" x14ac:dyDescent="0.25">
      <c r="A614" s="148">
        <v>13</v>
      </c>
      <c r="B614" s="119" t="s">
        <v>873</v>
      </c>
      <c r="C614" s="362">
        <f t="shared" si="39"/>
        <v>232.81</v>
      </c>
      <c r="D614" s="156"/>
      <c r="E614" s="156"/>
      <c r="F614" s="156"/>
      <c r="G614" s="363">
        <v>232.81</v>
      </c>
      <c r="H614" s="156"/>
      <c r="I614" s="362"/>
    </row>
    <row r="615" spans="1:9" ht="26.4" x14ac:dyDescent="0.25">
      <c r="A615" s="148">
        <v>14</v>
      </c>
      <c r="B615" s="119" t="s">
        <v>874</v>
      </c>
      <c r="C615" s="362">
        <f t="shared" si="39"/>
        <v>543.29</v>
      </c>
      <c r="D615" s="156"/>
      <c r="E615" s="156"/>
      <c r="F615" s="156"/>
      <c r="G615" s="363">
        <v>543.29</v>
      </c>
      <c r="H615" s="156"/>
      <c r="I615" s="362"/>
    </row>
    <row r="616" spans="1:9" ht="26.4" x14ac:dyDescent="0.25">
      <c r="A616" s="148">
        <v>15</v>
      </c>
      <c r="B616" s="119" t="s">
        <v>875</v>
      </c>
      <c r="C616" s="362">
        <f t="shared" si="39"/>
        <v>49.01</v>
      </c>
      <c r="D616" s="156"/>
      <c r="E616" s="156"/>
      <c r="F616" s="156"/>
      <c r="G616" s="363">
        <v>49.01</v>
      </c>
      <c r="H616" s="156"/>
      <c r="I616" s="362"/>
    </row>
    <row r="617" spans="1:9" ht="26.4" x14ac:dyDescent="0.25">
      <c r="A617" s="148">
        <v>16</v>
      </c>
      <c r="B617" s="119" t="s">
        <v>876</v>
      </c>
      <c r="C617" s="362">
        <f t="shared" si="39"/>
        <v>55.37</v>
      </c>
      <c r="D617" s="156"/>
      <c r="E617" s="156"/>
      <c r="F617" s="156"/>
      <c r="G617" s="363">
        <v>55.37</v>
      </c>
      <c r="H617" s="156"/>
      <c r="I617" s="362"/>
    </row>
    <row r="618" spans="1:9" x14ac:dyDescent="0.25">
      <c r="A618" s="148">
        <v>17</v>
      </c>
      <c r="B618" s="119" t="s">
        <v>877</v>
      </c>
      <c r="C618" s="362">
        <f t="shared" si="39"/>
        <v>42.96</v>
      </c>
      <c r="D618" s="156"/>
      <c r="E618" s="156"/>
      <c r="F618" s="156"/>
      <c r="G618" s="363">
        <v>42.96</v>
      </c>
      <c r="H618" s="156"/>
      <c r="I618" s="362"/>
    </row>
    <row r="619" spans="1:9" x14ac:dyDescent="0.25">
      <c r="A619" s="148">
        <v>18</v>
      </c>
      <c r="B619" s="119" t="s">
        <v>878</v>
      </c>
      <c r="C619" s="362">
        <f t="shared" si="39"/>
        <v>16.940000000000001</v>
      </c>
      <c r="D619" s="156"/>
      <c r="E619" s="156"/>
      <c r="F619" s="156"/>
      <c r="G619" s="363">
        <v>16.940000000000001</v>
      </c>
      <c r="H619" s="156"/>
      <c r="I619" s="362"/>
    </row>
    <row r="620" spans="1:9" x14ac:dyDescent="0.25">
      <c r="A620" s="148">
        <v>19</v>
      </c>
      <c r="B620" s="119" t="s">
        <v>879</v>
      </c>
      <c r="C620" s="362">
        <f t="shared" si="39"/>
        <v>26.4</v>
      </c>
      <c r="D620" s="156"/>
      <c r="E620" s="156"/>
      <c r="F620" s="156"/>
      <c r="G620" s="363">
        <v>26.4</v>
      </c>
      <c r="H620" s="156"/>
      <c r="I620" s="362"/>
    </row>
    <row r="621" spans="1:9" x14ac:dyDescent="0.25">
      <c r="A621" s="148">
        <v>20</v>
      </c>
      <c r="B621" s="119" t="s">
        <v>880</v>
      </c>
      <c r="C621" s="362">
        <f t="shared" si="39"/>
        <v>18.48</v>
      </c>
      <c r="D621" s="156"/>
      <c r="E621" s="156"/>
      <c r="F621" s="156"/>
      <c r="G621" s="363">
        <v>18.48</v>
      </c>
      <c r="H621" s="156"/>
      <c r="I621" s="362"/>
    </row>
    <row r="622" spans="1:9" ht="26.4" x14ac:dyDescent="0.25">
      <c r="A622" s="148">
        <v>21</v>
      </c>
      <c r="B622" s="119" t="s">
        <v>881</v>
      </c>
      <c r="C622" s="362">
        <f t="shared" si="39"/>
        <v>91.59</v>
      </c>
      <c r="D622" s="156"/>
      <c r="E622" s="156"/>
      <c r="F622" s="156"/>
      <c r="G622" s="363">
        <v>91.59</v>
      </c>
      <c r="H622" s="156"/>
      <c r="I622" s="362"/>
    </row>
    <row r="623" spans="1:9" x14ac:dyDescent="0.25">
      <c r="A623" s="148">
        <v>22</v>
      </c>
      <c r="B623" s="119" t="s">
        <v>882</v>
      </c>
      <c r="C623" s="362">
        <f t="shared" si="39"/>
        <v>7.27</v>
      </c>
      <c r="D623" s="156"/>
      <c r="E623" s="156"/>
      <c r="F623" s="156"/>
      <c r="G623" s="363">
        <v>7.27</v>
      </c>
      <c r="H623" s="156"/>
      <c r="I623" s="362"/>
    </row>
    <row r="624" spans="1:9" x14ac:dyDescent="0.25">
      <c r="A624" s="148">
        <v>23</v>
      </c>
      <c r="B624" s="119" t="s">
        <v>883</v>
      </c>
      <c r="C624" s="362">
        <f t="shared" si="39"/>
        <v>8</v>
      </c>
      <c r="D624" s="156"/>
      <c r="E624" s="156"/>
      <c r="F624" s="156"/>
      <c r="G624" s="363">
        <v>8</v>
      </c>
      <c r="H624" s="156"/>
      <c r="I624" s="362"/>
    </row>
    <row r="625" spans="1:9" ht="39.6" x14ac:dyDescent="0.25">
      <c r="A625" s="148">
        <v>24</v>
      </c>
      <c r="B625" s="119" t="s">
        <v>884</v>
      </c>
      <c r="C625" s="362">
        <f t="shared" si="39"/>
        <v>1912.53</v>
      </c>
      <c r="D625" s="156"/>
      <c r="E625" s="156"/>
      <c r="F625" s="156"/>
      <c r="G625" s="363">
        <v>1912.53</v>
      </c>
      <c r="H625" s="156"/>
      <c r="I625" s="362"/>
    </row>
    <row r="626" spans="1:9" x14ac:dyDescent="0.25">
      <c r="A626" s="148">
        <v>25</v>
      </c>
      <c r="B626" s="119" t="s">
        <v>885</v>
      </c>
      <c r="C626" s="362">
        <f t="shared" si="39"/>
        <v>20.100000000000001</v>
      </c>
      <c r="D626" s="156"/>
      <c r="E626" s="156"/>
      <c r="F626" s="156"/>
      <c r="G626" s="363">
        <v>20.100000000000001</v>
      </c>
      <c r="H626" s="156"/>
      <c r="I626" s="362"/>
    </row>
    <row r="627" spans="1:9" x14ac:dyDescent="0.25">
      <c r="A627" s="148">
        <v>26</v>
      </c>
      <c r="B627" s="119" t="s">
        <v>886</v>
      </c>
      <c r="C627" s="362">
        <f t="shared" si="39"/>
        <v>54.5</v>
      </c>
      <c r="D627" s="156"/>
      <c r="E627" s="156"/>
      <c r="F627" s="156"/>
      <c r="G627" s="363">
        <v>54.5</v>
      </c>
      <c r="H627" s="156"/>
      <c r="I627" s="362"/>
    </row>
    <row r="628" spans="1:9" x14ac:dyDescent="0.25">
      <c r="A628" s="148">
        <v>27</v>
      </c>
      <c r="B628" s="119" t="s">
        <v>887</v>
      </c>
      <c r="C628" s="362">
        <f t="shared" si="39"/>
        <v>85.91</v>
      </c>
      <c r="D628" s="156"/>
      <c r="E628" s="156"/>
      <c r="F628" s="156"/>
      <c r="G628" s="363">
        <v>85.91</v>
      </c>
      <c r="H628" s="156"/>
      <c r="I628" s="362"/>
    </row>
    <row r="629" spans="1:9" ht="39.6" x14ac:dyDescent="0.25">
      <c r="A629" s="148">
        <v>28</v>
      </c>
      <c r="B629" s="119" t="s">
        <v>888</v>
      </c>
      <c r="C629" s="362">
        <f t="shared" si="39"/>
        <v>1500.4</v>
      </c>
      <c r="D629" s="156"/>
      <c r="E629" s="156"/>
      <c r="F629" s="156"/>
      <c r="G629" s="363">
        <v>1500.4</v>
      </c>
      <c r="H629" s="156"/>
      <c r="I629" s="362"/>
    </row>
    <row r="630" spans="1:9" x14ac:dyDescent="0.25">
      <c r="A630" s="148">
        <v>29</v>
      </c>
      <c r="B630" s="119" t="s">
        <v>889</v>
      </c>
      <c r="C630" s="362">
        <f t="shared" si="39"/>
        <v>43.08</v>
      </c>
      <c r="D630" s="156"/>
      <c r="E630" s="156"/>
      <c r="F630" s="156"/>
      <c r="G630" s="363">
        <v>43.08</v>
      </c>
      <c r="H630" s="156"/>
      <c r="I630" s="362"/>
    </row>
    <row r="631" spans="1:9" ht="79.2" x14ac:dyDescent="0.25">
      <c r="A631" s="148">
        <v>30</v>
      </c>
      <c r="B631" s="119" t="s">
        <v>890</v>
      </c>
      <c r="C631" s="362">
        <f t="shared" si="39"/>
        <v>2252.9299999999998</v>
      </c>
      <c r="D631" s="156"/>
      <c r="E631" s="156"/>
      <c r="F631" s="156"/>
      <c r="G631" s="363">
        <v>2252.9299999999998</v>
      </c>
      <c r="H631" s="156"/>
      <c r="I631" s="362"/>
    </row>
    <row r="632" spans="1:9" x14ac:dyDescent="0.25">
      <c r="A632" s="148">
        <v>31</v>
      </c>
      <c r="B632" s="119" t="s">
        <v>891</v>
      </c>
      <c r="C632" s="362">
        <f t="shared" si="39"/>
        <v>14.52</v>
      </c>
      <c r="D632" s="156"/>
      <c r="E632" s="156"/>
      <c r="F632" s="156"/>
      <c r="G632" s="363">
        <v>14.52</v>
      </c>
      <c r="H632" s="156"/>
      <c r="I632" s="362"/>
    </row>
    <row r="633" spans="1:9" ht="26.4" x14ac:dyDescent="0.25">
      <c r="A633" s="148">
        <v>32</v>
      </c>
      <c r="B633" s="119" t="s">
        <v>892</v>
      </c>
      <c r="C633" s="362">
        <f t="shared" si="39"/>
        <v>496.1</v>
      </c>
      <c r="D633" s="156"/>
      <c r="E633" s="156"/>
      <c r="F633" s="156"/>
      <c r="G633" s="363">
        <v>496.1</v>
      </c>
      <c r="H633" s="156"/>
      <c r="I633" s="362"/>
    </row>
    <row r="634" spans="1:9" ht="26.4" x14ac:dyDescent="0.25">
      <c r="A634" s="148">
        <v>33</v>
      </c>
      <c r="B634" s="119" t="s">
        <v>893</v>
      </c>
      <c r="C634" s="362">
        <f t="shared" si="39"/>
        <v>623.15</v>
      </c>
      <c r="D634" s="156"/>
      <c r="E634" s="156"/>
      <c r="F634" s="156"/>
      <c r="G634" s="363">
        <v>623.15</v>
      </c>
      <c r="H634" s="156"/>
      <c r="I634" s="362"/>
    </row>
    <row r="635" spans="1:9" x14ac:dyDescent="0.25">
      <c r="A635" s="148">
        <v>34</v>
      </c>
      <c r="B635" s="20" t="s">
        <v>894</v>
      </c>
      <c r="C635" s="362">
        <f t="shared" si="39"/>
        <v>24.2</v>
      </c>
      <c r="D635" s="156"/>
      <c r="E635" s="156"/>
      <c r="F635" s="156"/>
      <c r="G635" s="363">
        <v>24.2</v>
      </c>
      <c r="H635" s="156"/>
      <c r="I635" s="362"/>
    </row>
    <row r="636" spans="1:9" x14ac:dyDescent="0.25">
      <c r="A636" s="148">
        <v>35</v>
      </c>
      <c r="B636" s="20" t="s">
        <v>895</v>
      </c>
      <c r="C636" s="362">
        <f t="shared" si="39"/>
        <v>23.48</v>
      </c>
      <c r="D636" s="156"/>
      <c r="E636" s="156"/>
      <c r="F636" s="156"/>
      <c r="G636" s="363">
        <v>23.48</v>
      </c>
      <c r="H636" s="156"/>
      <c r="I636" s="362"/>
    </row>
    <row r="637" spans="1:9" x14ac:dyDescent="0.25">
      <c r="A637" s="148"/>
      <c r="B637" s="364" t="s">
        <v>896</v>
      </c>
      <c r="C637" s="362">
        <f>C638+C640+C641+C639+C642+C643</f>
        <v>91530.559999999998</v>
      </c>
      <c r="D637" s="362">
        <f t="shared" ref="D637:I637" si="40">D638+D640+D641+D639+D642+D643</f>
        <v>0</v>
      </c>
      <c r="E637" s="362">
        <f t="shared" si="40"/>
        <v>33420.58</v>
      </c>
      <c r="F637" s="362">
        <f t="shared" si="40"/>
        <v>0</v>
      </c>
      <c r="G637" s="362">
        <f t="shared" si="40"/>
        <v>17438.690000000002</v>
      </c>
      <c r="H637" s="362">
        <f t="shared" si="40"/>
        <v>0</v>
      </c>
      <c r="I637" s="362">
        <f t="shared" si="40"/>
        <v>40671.29</v>
      </c>
    </row>
    <row r="638" spans="1:9" ht="52.8" x14ac:dyDescent="0.25">
      <c r="A638" s="148">
        <v>1</v>
      </c>
      <c r="B638" s="119" t="s">
        <v>897</v>
      </c>
      <c r="C638" s="362">
        <f t="shared" ref="C638:C643" si="41">SUM(D638:I638)</f>
        <v>193.95999999999998</v>
      </c>
      <c r="D638" s="156"/>
      <c r="E638" s="156">
        <v>1.59</v>
      </c>
      <c r="F638" s="156"/>
      <c r="G638" s="156">
        <f>0.25+181.7</f>
        <v>181.95</v>
      </c>
      <c r="H638" s="156"/>
      <c r="I638" s="156">
        <v>10.42</v>
      </c>
    </row>
    <row r="639" spans="1:9" ht="52.8" x14ac:dyDescent="0.25">
      <c r="A639" s="148">
        <v>2</v>
      </c>
      <c r="B639" s="119" t="s">
        <v>898</v>
      </c>
      <c r="C639" s="362">
        <f>SUM(D639:I639)</f>
        <v>31544.79</v>
      </c>
      <c r="D639" s="156"/>
      <c r="E639" s="156">
        <v>13751.36</v>
      </c>
      <c r="F639" s="156"/>
      <c r="G639" s="156">
        <f>582.32+2429.05</f>
        <v>3011.3700000000003</v>
      </c>
      <c r="H639" s="156"/>
      <c r="I639" s="363">
        <v>14782.06</v>
      </c>
    </row>
    <row r="640" spans="1:9" ht="52.8" x14ac:dyDescent="0.25">
      <c r="A640" s="148">
        <v>3</v>
      </c>
      <c r="B640" s="119" t="s">
        <v>899</v>
      </c>
      <c r="C640" s="362">
        <f t="shared" si="41"/>
        <v>5363.49</v>
      </c>
      <c r="D640" s="156"/>
      <c r="E640" s="156">
        <v>686.47</v>
      </c>
      <c r="F640" s="156"/>
      <c r="G640" s="156">
        <f>105.61+82.94</f>
        <v>188.55</v>
      </c>
      <c r="H640" s="156"/>
      <c r="I640" s="156">
        <v>4488.47</v>
      </c>
    </row>
    <row r="641" spans="1:9" ht="39.6" x14ac:dyDescent="0.25">
      <c r="A641" s="148">
        <v>4</v>
      </c>
      <c r="B641" s="119" t="s">
        <v>900</v>
      </c>
      <c r="C641" s="362">
        <f t="shared" si="41"/>
        <v>24346.95</v>
      </c>
      <c r="D641" s="156"/>
      <c r="E641" s="156">
        <v>6046.54</v>
      </c>
      <c r="F641" s="156"/>
      <c r="G641" s="363">
        <f>11828.25+250.37</f>
        <v>12078.62</v>
      </c>
      <c r="H641" s="156"/>
      <c r="I641" s="363">
        <v>6221.79</v>
      </c>
    </row>
    <row r="642" spans="1:9" ht="52.8" x14ac:dyDescent="0.25">
      <c r="A642" s="148">
        <v>5</v>
      </c>
      <c r="B642" s="119" t="s">
        <v>901</v>
      </c>
      <c r="C642" s="362">
        <f t="shared" si="41"/>
        <v>28065.9</v>
      </c>
      <c r="D642" s="156"/>
      <c r="E642" s="156">
        <v>12587.62</v>
      </c>
      <c r="F642" s="156"/>
      <c r="G642" s="156">
        <f>532.4+1445.8</f>
        <v>1978.1999999999998</v>
      </c>
      <c r="H642" s="156"/>
      <c r="I642" s="363">
        <v>13500.08</v>
      </c>
    </row>
    <row r="643" spans="1:9" ht="26.4" x14ac:dyDescent="0.25">
      <c r="A643" s="148">
        <v>6</v>
      </c>
      <c r="B643" s="119" t="s">
        <v>902</v>
      </c>
      <c r="C643" s="362">
        <f t="shared" si="41"/>
        <v>2015.47</v>
      </c>
      <c r="D643" s="156"/>
      <c r="E643" s="156">
        <v>347</v>
      </c>
      <c r="F643" s="156"/>
      <c r="G643" s="156"/>
      <c r="H643" s="156"/>
      <c r="I643" s="363">
        <v>1668.47</v>
      </c>
    </row>
    <row r="644" spans="1:9" x14ac:dyDescent="0.25">
      <c r="A644" s="365"/>
      <c r="B644" s="364" t="s">
        <v>903</v>
      </c>
      <c r="C644" s="362">
        <f>SUM(C645:C655)</f>
        <v>18891.91</v>
      </c>
      <c r="D644" s="362"/>
      <c r="E644" s="362">
        <f>SUM(E645:E655)</f>
        <v>0</v>
      </c>
      <c r="F644" s="362">
        <f>SUM(F645:F655)</f>
        <v>0</v>
      </c>
      <c r="G644" s="362">
        <f>SUM(G645:G655)</f>
        <v>18891.91</v>
      </c>
      <c r="H644" s="362">
        <f>SUM(H645:H655)</f>
        <v>0</v>
      </c>
      <c r="I644" s="362">
        <f>SUM(I645:I655)</f>
        <v>0</v>
      </c>
    </row>
    <row r="645" spans="1:9" ht="39.6" x14ac:dyDescent="0.25">
      <c r="A645" s="154">
        <v>1</v>
      </c>
      <c r="B645" s="119" t="s">
        <v>904</v>
      </c>
      <c r="C645" s="362">
        <f t="shared" ref="C645:C655" si="42">SUM(D645:I645)</f>
        <v>16.940000000000001</v>
      </c>
      <c r="D645" s="156"/>
      <c r="E645" s="362"/>
      <c r="F645" s="362"/>
      <c r="G645" s="156">
        <v>16.940000000000001</v>
      </c>
      <c r="H645" s="362"/>
      <c r="I645" s="362"/>
    </row>
    <row r="646" spans="1:9" ht="39.6" x14ac:dyDescent="0.25">
      <c r="A646" s="154">
        <v>2</v>
      </c>
      <c r="B646" s="119" t="s">
        <v>905</v>
      </c>
      <c r="C646" s="362">
        <f t="shared" si="42"/>
        <v>224.55</v>
      </c>
      <c r="D646" s="156"/>
      <c r="E646" s="362"/>
      <c r="F646" s="362"/>
      <c r="G646" s="363">
        <v>224.55</v>
      </c>
      <c r="H646" s="362"/>
      <c r="I646" s="362"/>
    </row>
    <row r="647" spans="1:9" ht="26.4" x14ac:dyDescent="0.25">
      <c r="A647" s="154">
        <v>3</v>
      </c>
      <c r="B647" s="119" t="s">
        <v>906</v>
      </c>
      <c r="C647" s="362">
        <f t="shared" si="42"/>
        <v>541.54999999999995</v>
      </c>
      <c r="D647" s="156"/>
      <c r="E647" s="156"/>
      <c r="F647" s="156"/>
      <c r="G647" s="363">
        <v>541.54999999999995</v>
      </c>
      <c r="H647" s="156"/>
      <c r="I647" s="362"/>
    </row>
    <row r="648" spans="1:9" ht="39.6" x14ac:dyDescent="0.25">
      <c r="A648" s="154">
        <v>4</v>
      </c>
      <c r="B648" s="119" t="s">
        <v>907</v>
      </c>
      <c r="C648" s="362">
        <f>SUM(D648:I648)</f>
        <v>540.73</v>
      </c>
      <c r="D648" s="156"/>
      <c r="E648" s="362"/>
      <c r="F648" s="362"/>
      <c r="G648" s="363">
        <v>540.73</v>
      </c>
      <c r="H648" s="362"/>
      <c r="I648" s="362"/>
    </row>
    <row r="649" spans="1:9" ht="39.6" x14ac:dyDescent="0.25">
      <c r="A649" s="154">
        <v>5</v>
      </c>
      <c r="B649" s="119" t="s">
        <v>908</v>
      </c>
      <c r="C649" s="362">
        <f t="shared" si="42"/>
        <v>788.65</v>
      </c>
      <c r="D649" s="156"/>
      <c r="E649" s="156"/>
      <c r="F649" s="156"/>
      <c r="G649" s="363">
        <v>788.65</v>
      </c>
      <c r="H649" s="156"/>
      <c r="I649" s="362"/>
    </row>
    <row r="650" spans="1:9" ht="39.6" x14ac:dyDescent="0.25">
      <c r="A650" s="154">
        <v>6</v>
      </c>
      <c r="B650" s="119" t="s">
        <v>909</v>
      </c>
      <c r="C650" s="362">
        <f t="shared" si="42"/>
        <v>240.67</v>
      </c>
      <c r="D650" s="156"/>
      <c r="E650" s="156"/>
      <c r="F650" s="156"/>
      <c r="G650" s="363">
        <v>240.67</v>
      </c>
      <c r="H650" s="156"/>
      <c r="I650" s="362"/>
    </row>
    <row r="651" spans="1:9" ht="39.6" x14ac:dyDescent="0.25">
      <c r="A651" s="154">
        <v>7</v>
      </c>
      <c r="B651" s="119" t="s">
        <v>910</v>
      </c>
      <c r="C651" s="362">
        <f t="shared" si="42"/>
        <v>94.99</v>
      </c>
      <c r="D651" s="156"/>
      <c r="E651" s="156"/>
      <c r="F651" s="156"/>
      <c r="G651" s="363">
        <v>94.99</v>
      </c>
      <c r="H651" s="156"/>
      <c r="I651" s="362"/>
    </row>
    <row r="652" spans="1:9" ht="39.6" x14ac:dyDescent="0.25">
      <c r="A652" s="154">
        <v>8</v>
      </c>
      <c r="B652" s="119" t="s">
        <v>911</v>
      </c>
      <c r="C652" s="362">
        <f t="shared" si="42"/>
        <v>117.13</v>
      </c>
      <c r="D652" s="156"/>
      <c r="E652" s="156"/>
      <c r="F652" s="156"/>
      <c r="G652" s="363">
        <v>117.13</v>
      </c>
      <c r="H652" s="156"/>
      <c r="I652" s="362"/>
    </row>
    <row r="653" spans="1:9" ht="79.2" x14ac:dyDescent="0.25">
      <c r="A653" s="154">
        <v>9</v>
      </c>
      <c r="B653" s="20" t="s">
        <v>912</v>
      </c>
      <c r="C653" s="362">
        <f t="shared" si="42"/>
        <v>4036.93</v>
      </c>
      <c r="D653" s="156"/>
      <c r="E653" s="156"/>
      <c r="F653" s="156"/>
      <c r="G653" s="363">
        <v>4036.93</v>
      </c>
      <c r="H653" s="156"/>
      <c r="I653" s="362"/>
    </row>
    <row r="654" spans="1:9" ht="79.2" x14ac:dyDescent="0.25">
      <c r="A654" s="154">
        <v>10</v>
      </c>
      <c r="B654" s="20" t="s">
        <v>912</v>
      </c>
      <c r="C654" s="362">
        <f t="shared" si="42"/>
        <v>11963.07</v>
      </c>
      <c r="D654" s="156"/>
      <c r="E654" s="156"/>
      <c r="F654" s="156"/>
      <c r="G654" s="363">
        <v>11963.07</v>
      </c>
      <c r="H654" s="156"/>
      <c r="I654" s="362"/>
    </row>
    <row r="655" spans="1:9" ht="66.599999999999994" thickBot="1" x14ac:dyDescent="0.3">
      <c r="A655" s="154">
        <v>11</v>
      </c>
      <c r="B655" s="20" t="s">
        <v>913</v>
      </c>
      <c r="C655" s="362">
        <f t="shared" si="42"/>
        <v>326.7</v>
      </c>
      <c r="D655" s="156"/>
      <c r="E655" s="156"/>
      <c r="F655" s="156"/>
      <c r="G655" s="156">
        <v>326.7</v>
      </c>
      <c r="H655" s="156"/>
      <c r="I655" s="362"/>
    </row>
    <row r="656" spans="1:9" ht="13.8" thickBot="1" x14ac:dyDescent="0.3">
      <c r="A656" s="366" t="s">
        <v>299</v>
      </c>
      <c r="B656" s="367" t="s">
        <v>300</v>
      </c>
      <c r="C656" s="261">
        <f t="shared" ref="C656:G656" si="43">SUM(C657:C667)</f>
        <v>192.20000000000002</v>
      </c>
      <c r="D656" s="261">
        <f t="shared" si="43"/>
        <v>0</v>
      </c>
      <c r="E656" s="261">
        <f t="shared" si="43"/>
        <v>0</v>
      </c>
      <c r="F656" s="261">
        <f t="shared" si="43"/>
        <v>0</v>
      </c>
      <c r="G656" s="261">
        <f t="shared" si="43"/>
        <v>192.20000000000002</v>
      </c>
      <c r="H656" s="261"/>
      <c r="I656" s="261">
        <f>SUM(I657:I667)</f>
        <v>0</v>
      </c>
    </row>
    <row r="657" spans="1:9" ht="26.4" x14ac:dyDescent="0.25">
      <c r="A657" s="368">
        <v>1</v>
      </c>
      <c r="B657" s="119" t="s">
        <v>914</v>
      </c>
      <c r="C657" s="362">
        <f t="shared" ref="C657:C667" si="44">SUM(E657:I657)</f>
        <v>40</v>
      </c>
      <c r="D657" s="161"/>
      <c r="E657" s="369"/>
      <c r="F657" s="369"/>
      <c r="G657" s="370">
        <v>40</v>
      </c>
      <c r="H657" s="162"/>
      <c r="I657" s="371"/>
    </row>
    <row r="658" spans="1:9" ht="26.4" x14ac:dyDescent="0.25">
      <c r="A658" s="368">
        <v>2</v>
      </c>
      <c r="B658" s="119" t="s">
        <v>915</v>
      </c>
      <c r="C658" s="362">
        <f t="shared" si="44"/>
        <v>10</v>
      </c>
      <c r="D658" s="161"/>
      <c r="E658" s="369"/>
      <c r="F658" s="369"/>
      <c r="G658" s="370">
        <v>10</v>
      </c>
      <c r="H658" s="162"/>
      <c r="I658" s="371"/>
    </row>
    <row r="659" spans="1:9" ht="26.4" x14ac:dyDescent="0.25">
      <c r="A659" s="368">
        <v>3</v>
      </c>
      <c r="B659" s="119" t="s">
        <v>916</v>
      </c>
      <c r="C659" s="362">
        <f t="shared" si="44"/>
        <v>20</v>
      </c>
      <c r="D659" s="161"/>
      <c r="E659" s="369"/>
      <c r="F659" s="369"/>
      <c r="G659" s="370">
        <v>20</v>
      </c>
      <c r="H659" s="162"/>
      <c r="I659" s="371"/>
    </row>
    <row r="660" spans="1:9" ht="26.4" x14ac:dyDescent="0.25">
      <c r="A660" s="368">
        <v>4</v>
      </c>
      <c r="B660" s="119" t="s">
        <v>917</v>
      </c>
      <c r="C660" s="362">
        <f t="shared" si="44"/>
        <v>10</v>
      </c>
      <c r="D660" s="161"/>
      <c r="E660" s="369"/>
      <c r="F660" s="369"/>
      <c r="G660" s="370">
        <v>10</v>
      </c>
      <c r="H660" s="162"/>
      <c r="I660" s="371"/>
    </row>
    <row r="661" spans="1:9" ht="26.4" x14ac:dyDescent="0.25">
      <c r="A661" s="368">
        <v>5</v>
      </c>
      <c r="B661" s="119" t="s">
        <v>918</v>
      </c>
      <c r="C661" s="362">
        <f t="shared" si="44"/>
        <v>12</v>
      </c>
      <c r="D661" s="161"/>
      <c r="E661" s="369"/>
      <c r="F661" s="369"/>
      <c r="G661" s="370">
        <v>12</v>
      </c>
      <c r="H661" s="162"/>
      <c r="I661" s="371"/>
    </row>
    <row r="662" spans="1:9" ht="39.6" x14ac:dyDescent="0.25">
      <c r="A662" s="368">
        <v>6</v>
      </c>
      <c r="B662" s="119" t="s">
        <v>919</v>
      </c>
      <c r="C662" s="362">
        <f t="shared" si="44"/>
        <v>40</v>
      </c>
      <c r="D662" s="156"/>
      <c r="E662" s="372"/>
      <c r="F662" s="372"/>
      <c r="G662" s="370">
        <v>40</v>
      </c>
      <c r="H662" s="156"/>
      <c r="I662" s="372"/>
    </row>
    <row r="663" spans="1:9" ht="26.4" x14ac:dyDescent="0.25">
      <c r="A663" s="368">
        <v>7</v>
      </c>
      <c r="B663" s="119" t="s">
        <v>920</v>
      </c>
      <c r="C663" s="362">
        <f t="shared" si="44"/>
        <v>30</v>
      </c>
      <c r="D663" s="156"/>
      <c r="E663" s="372"/>
      <c r="F663" s="372"/>
      <c r="G663" s="370">
        <v>30</v>
      </c>
      <c r="H663" s="156"/>
      <c r="I663" s="372"/>
    </row>
    <row r="664" spans="1:9" ht="26.4" x14ac:dyDescent="0.25">
      <c r="A664" s="368">
        <v>8</v>
      </c>
      <c r="B664" s="119" t="s">
        <v>921</v>
      </c>
      <c r="C664" s="362">
        <f t="shared" si="44"/>
        <v>7.05</v>
      </c>
      <c r="D664" s="156"/>
      <c r="E664" s="372"/>
      <c r="F664" s="372"/>
      <c r="G664" s="370">
        <v>7.05</v>
      </c>
      <c r="H664" s="156"/>
      <c r="I664" s="372"/>
    </row>
    <row r="665" spans="1:9" ht="26.4" x14ac:dyDescent="0.25">
      <c r="A665" s="368">
        <v>9</v>
      </c>
      <c r="B665" s="119" t="s">
        <v>922</v>
      </c>
      <c r="C665" s="362">
        <f t="shared" si="44"/>
        <v>3.15</v>
      </c>
      <c r="D665" s="156"/>
      <c r="E665" s="372"/>
      <c r="F665" s="372"/>
      <c r="G665" s="370">
        <v>3.15</v>
      </c>
      <c r="H665" s="156"/>
      <c r="I665" s="372"/>
    </row>
    <row r="666" spans="1:9" ht="39.6" x14ac:dyDescent="0.25">
      <c r="A666" s="368">
        <v>10</v>
      </c>
      <c r="B666" s="119" t="s">
        <v>923</v>
      </c>
      <c r="C666" s="362">
        <f t="shared" si="44"/>
        <v>10</v>
      </c>
      <c r="D666" s="156"/>
      <c r="E666" s="372"/>
      <c r="F666" s="372"/>
      <c r="G666" s="373">
        <v>10</v>
      </c>
      <c r="H666" s="156"/>
      <c r="I666" s="372"/>
    </row>
    <row r="667" spans="1:9" ht="40.200000000000003" thickBot="1" x14ac:dyDescent="0.3">
      <c r="A667" s="368">
        <v>11</v>
      </c>
      <c r="B667" s="119" t="s">
        <v>924</v>
      </c>
      <c r="C667" s="362">
        <f t="shared" si="44"/>
        <v>10</v>
      </c>
      <c r="D667" s="156"/>
      <c r="E667" s="372"/>
      <c r="F667" s="372"/>
      <c r="G667" s="373">
        <v>10</v>
      </c>
      <c r="H667" s="156"/>
      <c r="I667" s="372"/>
    </row>
    <row r="668" spans="1:9" ht="13.8" thickBot="1" x14ac:dyDescent="0.3">
      <c r="A668" s="181"/>
      <c r="B668" s="374" t="s">
        <v>925</v>
      </c>
      <c r="C668" s="375">
        <f t="shared" ref="C668:I668" si="45">C656+C599+C492+C368+C149+C144+C142+C140+C106+C103+C93+C87+C66+C59+C46+C32</f>
        <v>1447684.3761300005</v>
      </c>
      <c r="D668" s="375">
        <f t="shared" si="45"/>
        <v>274861.96325200005</v>
      </c>
      <c r="E668" s="375">
        <f t="shared" si="45"/>
        <v>254353.08999999997</v>
      </c>
      <c r="F668" s="375">
        <f t="shared" si="45"/>
        <v>285864.44</v>
      </c>
      <c r="G668" s="375">
        <f t="shared" si="45"/>
        <v>48775.46</v>
      </c>
      <c r="H668" s="375">
        <f t="shared" si="45"/>
        <v>57808.6</v>
      </c>
      <c r="I668" s="375">
        <f t="shared" si="45"/>
        <v>526020.82287799998</v>
      </c>
    </row>
    <row r="669" spans="1:9" x14ac:dyDescent="0.25">
      <c r="A669" s="376"/>
      <c r="B669" s="190"/>
      <c r="C669" s="377"/>
      <c r="D669" s="377"/>
      <c r="E669" s="190"/>
      <c r="F669" s="190"/>
      <c r="G669" s="190"/>
      <c r="H669" s="190"/>
      <c r="I669" s="190"/>
    </row>
    <row r="670" spans="1:9" x14ac:dyDescent="0.25">
      <c r="A670" s="188"/>
      <c r="B670" s="378"/>
      <c r="C670" s="184"/>
      <c r="D670" s="184"/>
      <c r="E670" s="185"/>
      <c r="F670" s="185"/>
      <c r="G670" s="185"/>
      <c r="H670" s="185"/>
      <c r="I670" s="185"/>
    </row>
    <row r="671" spans="1:9" x14ac:dyDescent="0.25">
      <c r="A671" s="188"/>
      <c r="B671" s="378"/>
      <c r="C671" s="184"/>
      <c r="D671" s="184"/>
      <c r="E671" s="185"/>
      <c r="F671" s="185"/>
      <c r="G671" s="185"/>
      <c r="H671" s="185"/>
      <c r="I671" s="185"/>
    </row>
    <row r="672" spans="1:9" x14ac:dyDescent="0.25">
      <c r="A672" s="188"/>
      <c r="B672" s="378"/>
      <c r="C672" s="184"/>
      <c r="D672" s="184"/>
      <c r="E672" s="185"/>
      <c r="F672" s="185"/>
      <c r="G672" s="185"/>
      <c r="H672" s="185"/>
      <c r="I672" s="185"/>
    </row>
    <row r="673" spans="1:9" x14ac:dyDescent="0.25">
      <c r="A673" s="188"/>
      <c r="B673" s="378"/>
      <c r="C673" s="184"/>
      <c r="D673" s="184"/>
      <c r="E673" s="185"/>
      <c r="F673" s="185"/>
      <c r="G673" s="185"/>
      <c r="H673" s="185"/>
      <c r="I673" s="185"/>
    </row>
    <row r="674" spans="1:9" x14ac:dyDescent="0.25">
      <c r="A674" s="188"/>
      <c r="B674" s="378"/>
      <c r="C674" s="184"/>
      <c r="D674" s="184"/>
      <c r="E674" s="185"/>
      <c r="F674" s="185"/>
      <c r="G674" s="185"/>
      <c r="H674" s="185"/>
      <c r="I674" s="185"/>
    </row>
  </sheetData>
  <mergeCells count="2">
    <mergeCell ref="A8:I8"/>
    <mergeCell ref="A6:B6"/>
  </mergeCells>
  <pageMargins left="0.23622047244094491" right="0.23622047244094491" top="0.74803149606299213" bottom="0.74803149606299213" header="0.31496062992125984" footer="0.31496062992125984"/>
  <pageSetup scale="84" fitToHeight="0" orientation="portrait" horizontalDpi="4294967293" verticalDpi="4294967293" r:id="rId1"/>
  <headerFooter>
    <oddFooter>&amp;L&amp;F&amp;C&amp;A&amp;RPagina &amp;P din &amp;N</oddFooter>
  </headerFooter>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venituri</vt:lpstr>
      <vt:lpstr>chelt. operat.</vt:lpstr>
      <vt:lpstr>investiti</vt:lpstr>
      <vt:lpstr>'chelt. operat.'!Print_Area</vt:lpstr>
      <vt:lpstr>venituri!Print_Area</vt:lpstr>
      <vt:lpstr>'chelt. operat.'!Print_Titles</vt:lpstr>
      <vt:lpstr>investiti!Print_Titles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2026-04-08T08:33:19Z</dcterms:modified>
</cp:coreProperties>
</file>